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8_{4CD6B7E2-AC7D-4C7E-89A5-4690DD65AD46}" xr6:coauthVersionLast="47" xr6:coauthVersionMax="47" xr10:uidLastSave="{00000000-0000-0000-0000-000000000000}"/>
  <bookViews>
    <workbookView xWindow="-120" yWindow="-120" windowWidth="29040" windowHeight="15840" activeTab="3" xr2:uid="{00000000-000D-0000-FFFF-FFFF00000000}"/>
  </bookViews>
  <sheets>
    <sheet name="דוח פניות לאוצר 2021" sheetId="24" r:id="rId1"/>
    <sheet name="דוח החרגות" sheetId="28" r:id="rId2"/>
    <sheet name="ספטמבר" sheetId="35" r:id="rId3"/>
    <sheet name="אוקטובר" sheetId="36" r:id="rId4"/>
  </sheets>
  <externalReferences>
    <externalReference r:id="rId5"/>
    <externalReference r:id="rId6"/>
    <externalReference r:id="rId7"/>
  </externalReferences>
  <definedNames>
    <definedName name="נספח_ב" localSheetId="3">אוקטובר!#REF!</definedName>
    <definedName name="נספח_ב" localSheetId="2">ספטמבר!#REF!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36" l="1"/>
  <c r="D12" i="36"/>
  <c r="N12" i="28"/>
  <c r="O12" i="28" s="1"/>
  <c r="N28" i="28"/>
  <c r="D19" i="36"/>
  <c r="N38" i="28"/>
  <c r="O37" i="28"/>
  <c r="O36" i="28"/>
  <c r="D35" i="28"/>
  <c r="O35" i="28" s="1"/>
  <c r="O34" i="28"/>
  <c r="D33" i="28"/>
  <c r="O33" i="28" s="1"/>
  <c r="O32" i="28"/>
  <c r="O31" i="28"/>
  <c r="O30" i="28"/>
  <c r="D29" i="28"/>
  <c r="O29" i="28" s="1"/>
  <c r="O28" i="28"/>
  <c r="D27" i="28"/>
  <c r="O27" i="28" s="1"/>
  <c r="O26" i="28"/>
  <c r="D25" i="28"/>
  <c r="O25" i="28" s="1"/>
  <c r="O24" i="28"/>
  <c r="O23" i="28"/>
  <c r="D23" i="28"/>
  <c r="O22" i="28"/>
  <c r="D22" i="28"/>
  <c r="O21" i="28"/>
  <c r="D21" i="28"/>
  <c r="O20" i="28"/>
  <c r="D20" i="28"/>
  <c r="O19" i="28"/>
  <c r="O18" i="28"/>
  <c r="O17" i="28"/>
  <c r="D16" i="28"/>
  <c r="O16" i="28" s="1"/>
  <c r="O15" i="28"/>
  <c r="O14" i="28"/>
  <c r="O13" i="28"/>
  <c r="D11" i="28"/>
  <c r="O11" i="28" s="1"/>
  <c r="O10" i="28"/>
  <c r="O9" i="28"/>
  <c r="O8" i="28"/>
  <c r="O7" i="28"/>
  <c r="O6" i="28"/>
  <c r="O5" i="28"/>
  <c r="D4" i="28"/>
  <c r="O4" i="28" s="1"/>
  <c r="O3" i="28"/>
  <c r="D2" i="28"/>
  <c r="O2" i="28" s="1"/>
  <c r="D10" i="35" l="1"/>
  <c r="J2" i="24"/>
  <c r="J5" i="24"/>
  <c r="J6" i="24"/>
  <c r="J7" i="24"/>
  <c r="J8" i="24"/>
  <c r="J9" i="24"/>
  <c r="J10" i="24"/>
  <c r="J11" i="24"/>
  <c r="J12" i="24"/>
  <c r="J13" i="24"/>
  <c r="D18" i="35" l="1"/>
  <c r="G12" i="24"/>
  <c r="G11" i="24"/>
  <c r="G2" i="24"/>
  <c r="G3" i="24"/>
  <c r="G4" i="24"/>
  <c r="G5" i="24"/>
  <c r="G6" i="24"/>
  <c r="G7" i="24"/>
  <c r="G8" i="24"/>
  <c r="G9" i="24"/>
  <c r="G10" i="24"/>
  <c r="F9" i="24" l="1"/>
  <c r="F8" i="24"/>
  <c r="F7" i="24"/>
  <c r="F6" i="24"/>
  <c r="I4" i="24"/>
  <c r="J4" i="24" s="1"/>
  <c r="I3" i="24"/>
  <c r="J3" i="24" s="1"/>
</calcChain>
</file>

<file path=xl/sharedStrings.xml><?xml version="1.0" encoding="utf-8"?>
<sst xmlns="http://schemas.openxmlformats.org/spreadsheetml/2006/main" count="262" uniqueCount="185">
  <si>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</si>
  <si>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</si>
  <si>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</si>
  <si>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</si>
  <si>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</si>
  <si>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</si>
  <si>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</si>
  <si>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</si>
  <si>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</si>
  <si>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</si>
  <si>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</si>
  <si>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</si>
  <si>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</si>
  <si>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</si>
  <si>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</si>
  <si>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</si>
  <si>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</si>
  <si>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</si>
  <si>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</si>
  <si>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</si>
  <si>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</si>
  <si>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</si>
  <si>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</si>
  <si>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</si>
  <si>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</si>
  <si>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</si>
  <si>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</si>
  <si>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</si>
  <si>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</si>
  <si>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</si>
  <si>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</si>
  <si>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</si>
  <si>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</si>
  <si>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</si>
  <si>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</si>
  <si>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</si>
  <si>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</si>
  <si>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</si>
  <si>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</si>
  <si>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</si>
  <si>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</si>
  <si>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</si>
  <si>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</si>
  <si>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</si>
  <si>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</si>
  <si>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</si>
  <si>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</si>
  <si>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</si>
  <si>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</si>
  <si>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</si>
  <si>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</si>
  <si>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</si>
  <si>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</si>
  <si>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</si>
  <si>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</si>
  <si>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</si>
  <si>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</si>
  <si>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</si>
  <si>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</si>
  <si>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01.06.2021</t>
  </si>
  <si>
    <t xml:space="preserve">בקשה להרחבת התקשרות עם חברת ספארק ביונד בע"מ </t>
  </si>
  <si>
    <t>14.07.2021</t>
  </si>
  <si>
    <t>קיום כנס רשות החדשנות</t>
  </si>
  <si>
    <t>03.08.2021</t>
  </si>
  <si>
    <t>תוספת בסך של 517.5 מלש"ח בהרשאה להתחייב, לצורך מתן מענקים חדשים במסגרת מסלולי ההטבה של רשות החדשנות+ המשך פיילוט רחפנים</t>
  </si>
  <si>
    <t>בוטל מטעם הרשות</t>
  </si>
  <si>
    <t>משאבים</t>
  </si>
  <si>
    <t>לבחינת בקשות במסגרת קול קורא 44 לפי תוח הון אנושי לתעשיה עתירת הידע</t>
  </si>
  <si>
    <t>דיור</t>
  </si>
  <si>
    <t>דמי חבר לארגונים</t>
  </si>
  <si>
    <t>גטי מלחה</t>
  </si>
  <si>
    <t>דוח החרגות לחודש: ספטמבר 2021</t>
  </si>
  <si>
    <t>פרסומי חודש 09/2021 בהתאם להוראות סעיף 49(ב) לחוק יסודות התקציב, תשמ"ה-1985</t>
  </si>
  <si>
    <t>ביקורת פרויקטים</t>
  </si>
  <si>
    <t>המערך הטכנולוגי</t>
  </si>
  <si>
    <t>מועד</t>
  </si>
  <si>
    <t>30.09.2021</t>
  </si>
  <si>
    <t xml:space="preserve">בקשה להתקשרות עם לפ"מ לפרסום וקידום קולות קוראים להגשת בקשות למענקים </t>
  </si>
  <si>
    <t>בדיקת בקשות במסלול 44 – קרן הון אנושי</t>
  </si>
  <si>
    <t>שכירות רבעון 3 לשנת 2021</t>
  </si>
  <si>
    <t>הארכת התקשרות עם משרד רו"ח לביצוע ביקורת בחשבות</t>
  </si>
  <si>
    <t>ציוד מחשבים</t>
  </si>
  <si>
    <t>שירותי יעוץ- הרחבה והארכת התקשרות עם יועץ הביטוח של הרשות</t>
  </si>
  <si>
    <t>חברת פז- הרחבת והארכת התקשרות לשנת 2021 עבור שירותי תדלוק ושטיפת רכבים</t>
  </si>
  <si>
    <t>הוצאות משרדיות</t>
  </si>
  <si>
    <t>מינוי למאגר נתונים</t>
  </si>
  <si>
    <t xml:space="preserve">שירותי יעוץ- ליווי של הרשות בכתיבת מפרט למכרז  </t>
  </si>
  <si>
    <t>דוח החרגות לחודש: אוקטובר 2021</t>
  </si>
  <si>
    <t>פרסומי חודש 10/2021 בהתאם להוראות סעיף 49(ב) לחוק יסודות התקציב, תשמ"ה-1985</t>
  </si>
  <si>
    <t>סלופארק</t>
  </si>
  <si>
    <t>שירותי חנייה וכביש 6</t>
  </si>
  <si>
    <t>לקרוא את הצעת המחיר</t>
  </si>
  <si>
    <t>לפמ</t>
  </si>
  <si>
    <t>הגדלת התקשרות לשנת 2021</t>
  </si>
  <si>
    <t>פנייה 36815  מיום 30.09.2021</t>
  </si>
  <si>
    <t>גלשן שווקים</t>
  </si>
  <si>
    <t>הארכה והגדלת התקשרות עד ל 10/2022</t>
  </si>
  <si>
    <t>19.08.2021</t>
  </si>
  <si>
    <t>KOREA ISRAEL INDUSTRIAL R&amp;D  FOUNDA</t>
  </si>
  <si>
    <t>ביצוע אנליזת דוח מחקר אסטרטגי על פעילות הקרן</t>
  </si>
  <si>
    <t>וואן</t>
  </si>
  <si>
    <t>בינלאומי -ממומן</t>
  </si>
  <si>
    <t>מתוקה</t>
  </si>
  <si>
    <t>כיבוד אירוע רחפנים</t>
  </si>
  <si>
    <t>גרוס עידן</t>
  </si>
  <si>
    <t>צילום פיילוט אירוע הרחפנים</t>
  </si>
  <si>
    <t xml:space="preserve">מינהל הדיור </t>
  </si>
  <si>
    <t>תקציב ייעודי לתחזוקת נכסי מדינה</t>
  </si>
  <si>
    <t>בי אול סנטר</t>
  </si>
  <si>
    <t>חניה לאהרון</t>
  </si>
  <si>
    <t>ענבר אדמון</t>
  </si>
  <si>
    <t>בינת תקשורת</t>
  </si>
  <si>
    <t>מכרז שירלי- הוספת קיטים לחדרי  ישיבות והארכת התקשרות</t>
  </si>
  <si>
    <t>31.08.2021</t>
  </si>
  <si>
    <t>ZOOM</t>
  </si>
  <si>
    <t>הרחבה והארכת התקשרות</t>
  </si>
  <si>
    <t>דולר</t>
  </si>
  <si>
    <t>05.10.2021</t>
  </si>
  <si>
    <t>טיקל סנטר</t>
  </si>
  <si>
    <t>רכישה של 4 טלפונים נייחים</t>
  </si>
  <si>
    <t>ידיעות אחרונות</t>
  </si>
  <si>
    <t>שתפ בכנס TLV- TECH</t>
  </si>
  <si>
    <t>מידאטה</t>
  </si>
  <si>
    <t xml:space="preserve"> רגולציה וחסמיים רגולטוריים - בינה מלאכותית</t>
  </si>
  <si>
    <t>פנייה 35320 מיום 22.03.2021</t>
  </si>
  <si>
    <t>ייעוץ משפטי</t>
  </si>
  <si>
    <t>פרשקאפ</t>
  </si>
  <si>
    <t>מכונות לשטיפת כוסות</t>
  </si>
  <si>
    <t>מרכז הציפויים</t>
  </si>
  <si>
    <t>אורפז ענבל</t>
  </si>
  <si>
    <t>יעוץ שעתי בכתיבת דוח החדשנות</t>
  </si>
  <si>
    <t>יועצים ומחקר</t>
  </si>
  <si>
    <t>קלאודטק</t>
  </si>
  <si>
    <t>רישוי משתמשים נוספים למערכת ה CRM- הגדלה מ 80 משתמשים ל 95 (+15), בעלות חודשית של 117$ + מעמ עד לתום תקופת החוזה המקורי. הוצאה הזמנה חדשה היות ויש שורה קיימת בהסכם המקור</t>
  </si>
  <si>
    <t>14.10.2021</t>
  </si>
  <si>
    <t>שלומציון לולו</t>
  </si>
  <si>
    <t xml:space="preserve">סדנא העוסקת באומנות השירות , עבור מערך לקוחות והתפעול </t>
  </si>
  <si>
    <t>תוסף לכלי Own-Backup  מחיר עבור מינוי לשנה</t>
  </si>
  <si>
    <t>קלמנטינה</t>
  </si>
  <si>
    <t>הגדלת התקשרות מתנות ליולדת</t>
  </si>
  <si>
    <t>משאבי אנוש</t>
  </si>
  <si>
    <t>א. סודרי</t>
  </si>
  <si>
    <t>רכישת 4 מחשבים</t>
  </si>
  <si>
    <t>פאוזה</t>
  </si>
  <si>
    <t>הרחבת ההתקשרות עבור רכישת קפה</t>
  </si>
  <si>
    <t>מלכה</t>
  </si>
  <si>
    <t>כיבוד עבור מפגש רשות החדשנות</t>
  </si>
  <si>
    <t xml:space="preserve">ביי מי </t>
  </si>
  <si>
    <t>תוי שי לימי הולדת עובדים</t>
  </si>
  <si>
    <t>דואר ישראל</t>
  </si>
  <si>
    <t>שליחת דואר רשום- 550 פריטים</t>
  </si>
  <si>
    <t>אלעד שמואלי</t>
  </si>
  <si>
    <t>הזמנה למאייר לטובת סירטונים מאויירים</t>
  </si>
  <si>
    <t>מדיטה</t>
  </si>
  <si>
    <t>מפגש סיכום CRM שלב א - ארוחת צהריים</t>
  </si>
  <si>
    <t xml:space="preserve"> שביט י. הנדסת מחשבים בע"מ</t>
  </si>
  <si>
    <t>יעוץ לאיסרד</t>
  </si>
  <si>
    <t>19.10.2021</t>
  </si>
  <si>
    <t>איסרד</t>
  </si>
  <si>
    <t xml:space="preserve">כיבוד לאירוח אירוע נשיא קולומביה </t>
  </si>
  <si>
    <t>יעוץ וחילוץ אנליזה</t>
  </si>
  <si>
    <t>תפעול מערך טכנולוגי</t>
  </si>
  <si>
    <t>קישורית</t>
  </si>
  <si>
    <t>התקשרות לשלושה חודשים עבור קבלת שיחות לשירות הלקוחות</t>
  </si>
  <si>
    <t>שירות לקוחות</t>
  </si>
  <si>
    <t>מסיעי אריה שאשא</t>
  </si>
  <si>
    <t>הרחבת התקשרות ל 2022 על פי הוראת תכם</t>
  </si>
  <si>
    <t>מעבר לירושלים</t>
  </si>
  <si>
    <t>סיגנצ'ור אי טי</t>
  </si>
  <si>
    <t xml:space="preserve">תחזוקת מערכת סקאוטינג שנה שלישית </t>
  </si>
  <si>
    <t>מינהל הדיור הממשלתי</t>
  </si>
  <si>
    <t>תשלום עבור דיור רבעון 3- 2021</t>
  </si>
  <si>
    <t>השתתפות בשכר דירה</t>
  </si>
  <si>
    <t>עבודות התאמה- נזילה בקומה 3</t>
  </si>
  <si>
    <t>התקשרות עם יועצים</t>
  </si>
  <si>
    <r>
      <t xml:space="preserve">ציפוי חלונות רכבי ה </t>
    </r>
    <r>
      <rPr>
        <sz val="11"/>
        <color rgb="FFFF0000"/>
        <rFont val="Calibri"/>
        <family val="2"/>
      </rPr>
      <t>MG- כרגע עבור 5 רכבים</t>
    </r>
  </si>
  <si>
    <t>הוצאות שיווק</t>
  </si>
  <si>
    <t>פנייה 35320 לוועדת החריגים-התקשרות עם יועצים</t>
  </si>
  <si>
    <t>פנייה 36815 לוועדת חריגים - הגדלת התקשרות עם חברת לפמ</t>
  </si>
  <si>
    <t>הוצאות תחזוקה וחידוש רשיונות- מיחשוב</t>
  </si>
  <si>
    <t>הוצאות רווחה לעובדים</t>
  </si>
  <si>
    <t>ביצוע אנליזת מחקר- קרן קוריאה</t>
  </si>
  <si>
    <t>מינהל הדיור</t>
  </si>
  <si>
    <t xml:space="preserve">שירותי הסעות- הרחבת התקשרות </t>
  </si>
  <si>
    <t>מינהל הדיור- שכר דירה גטי מלחה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</si>
</sst>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33"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sz val="10"/>
      <name val="Arial"/>
      <family val="2"/>
    </font>
    <font>
      <sz val="11"/>
      <color rgb="FFFF0000"/>
      <name val="David"/>
      <family val="2"/>
    </font>
    <font>
      <sz val="11"/>
      <color rgb="FFFF0000"/>
      <name val="Arial"/>
      <family val="2"/>
      <scheme val="minor"/>
    </font>
    <font>
      <sz val="11"/>
      <name val="David"/>
      <family val="2"/>
    </font>
    <font>
      <strike/>
      <sz val="11"/>
      <color theme="1"/>
      <name val="Arial"/>
      <family val="2"/>
      <charset val="177"/>
      <scheme val="minor"/>
    </font>
    <font>
      <strike/>
      <sz val="11"/>
      <color theme="1"/>
      <name val="Arial"/>
      <family val="2"/>
      <scheme val="minor"/>
    </font>
    <font>
      <b/>
      <sz val="11"/>
      <name val="Arial"/>
      <family val="2"/>
      <scheme val="minor"/>
    </font>
    <font>
      <strike/>
      <sz val="11"/>
      <name val="Arial"/>
      <family val="2"/>
      <scheme val="minor"/>
    </font>
    <font>
      <sz val="11"/>
      <name val="Arial"/>
      <family val="2"/>
      <scheme val="minor"/>
    </font>
    <font>
      <sz val="11"/>
      <color rgb="FFFF0000"/>
      <name val="Calibri"/>
      <family val="2"/>
    </font>
    <font>
      <sz val="11"/>
      <color rgb="FFFF0000"/>
      <name val="Arial"/>
      <family val="2"/>
    </font>
  </fonts>
  <fills count="3">
    <fill>
      <patternFill patternType="none"/>
    </fill>
    <fill>
      <patternFill patternType="gray125"/>
    </fill>
    <fill>
      <patternFill patternType="solid">
        <fgColor rgb="FF00CC9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2">
    <xf numFmtId="0" fontId="0" fillId="0" borderId="0"/>
    <xf numFmtId="43" fontId="12" fillId="0" borderId="0" applyFont="0" applyFill="0" applyBorder="0" applyAlignment="0" applyProtection="0"/>
    <xf numFmtId="0" fontId="2" fillId="0" borderId="0"/>
    <xf numFmtId="44" fontId="12" fillId="0" borderId="0" applyFont="0" applyFill="0" applyBorder="0" applyAlignment="0" applyProtection="0"/>
    <xf numFmtId="0" fontId="13" fillId="0" borderId="0"/>
    <xf numFmtId="0" fontId="14" fillId="0" borderId="0"/>
    <xf numFmtId="43" fontId="12" fillId="0" borderId="0" applyFont="0" applyFill="0" applyBorder="0" applyAlignment="0" applyProtection="0"/>
    <xf numFmtId="0" fontId="2" fillId="0" borderId="0"/>
    <xf numFmtId="0" fontId="16" fillId="0" borderId="0"/>
    <xf numFmtId="0" fontId="17" fillId="0" borderId="0"/>
    <xf numFmtId="0" fontId="18" fillId="0" borderId="0"/>
    <xf numFmtId="0" fontId="22" fillId="0" borderId="0"/>
  </cellStyleXfs>
  <cellXfs count="103">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wrapText="1"/>
    </xf>
    <xf numFmtId="0" fontId="3" fillId="0" borderId="0" xfId="0" applyFont="1"/>
    <xf numFmtId="0" fontId="7" fillId="0" borderId="3" xfId="0" applyFont="1" applyBorder="1" applyAlignment="1">
      <alignment horizontal="center" vertical="center" wrapText="1" readingOrder="2"/>
    </xf>
    <xf numFmtId="0" fontId="15" fillId="0" borderId="4" xfId="0" applyFont="1" applyBorder="1" applyAlignment="1">
      <alignment vertical="center" readingOrder="2"/>
    </xf>
    <xf numFmtId="0" fontId="0" fillId="0" borderId="0" xfId="0" applyAlignment="1">
      <alignment wrapText="1"/>
    </xf>
    <xf numFmtId="43" fontId="0" fillId="0" borderId="0" xfId="1" applyFont="1"/>
    <xf numFmtId="43" fontId="0" fillId="0" borderId="0" xfId="1" applyFont="1" applyAlignment="1">
      <alignment horizontal="center" vertical="center" wrapText="1"/>
    </xf>
    <xf numFmtId="43" fontId="0" fillId="0" borderId="0" xfId="1" applyFont="1" applyAlignment="1">
      <alignment wrapText="1"/>
    </xf>
    <xf numFmtId="0" fontId="19" fillId="0" borderId="0" xfId="0" applyFont="1" applyAlignment="1">
      <alignment wrapText="1"/>
    </xf>
    <xf numFmtId="43" fontId="19"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43" fontId="20" fillId="2" borderId="10" xfId="1" applyFont="1" applyFill="1" applyBorder="1" applyAlignment="1">
      <alignment horizontal="center" vertical="center" wrapText="1"/>
    </xf>
    <xf numFmtId="4" fontId="20" fillId="2" borderId="11" xfId="1" applyNumberFormat="1" applyFont="1" applyFill="1" applyBorder="1" applyAlignment="1">
      <alignment horizontal="center" vertical="center" wrapText="1"/>
    </xf>
    <xf numFmtId="0" fontId="20"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43" fontId="3" fillId="0" borderId="8" xfId="1" applyFont="1" applyBorder="1" applyAlignment="1">
      <alignment wrapText="1"/>
    </xf>
    <xf numFmtId="2" fontId="0" fillId="0" borderId="8" xfId="0" applyNumberFormat="1" applyBorder="1" applyAlignment="1">
      <alignment wrapText="1"/>
    </xf>
    <xf numFmtId="0" fontId="1" fillId="0" borderId="0" xfId="0" applyFont="1"/>
    <xf numFmtId="0" fontId="23" fillId="0" borderId="0" xfId="0" applyFont="1"/>
    <xf numFmtId="43" fontId="19" fillId="0" borderId="0" xfId="0" applyNumberFormat="1" applyFont="1"/>
    <xf numFmtId="43" fontId="0" fillId="0" borderId="0" xfId="1" applyNumberFormat="1" applyFont="1"/>
    <xf numFmtId="4" fontId="0" fillId="0" borderId="1" xfId="1" applyNumberFormat="1" applyFont="1" applyBorder="1" applyAlignment="1">
      <alignment wrapText="1"/>
    </xf>
    <xf numFmtId="2" fontId="24" fillId="0" borderId="8" xfId="0" applyNumberFormat="1" applyFont="1" applyBorder="1" applyAlignment="1">
      <alignment wrapText="1"/>
    </xf>
    <xf numFmtId="0" fontId="24" fillId="0" borderId="8" xfId="0" applyFont="1" applyBorder="1" applyAlignment="1">
      <alignment wrapText="1"/>
    </xf>
    <xf numFmtId="43" fontId="24" fillId="0" borderId="8" xfId="1" applyFont="1" applyBorder="1" applyAlignment="1">
      <alignment wrapText="1"/>
    </xf>
    <xf numFmtId="4" fontId="24" fillId="0" borderId="1" xfId="1" applyNumberFormat="1" applyFont="1" applyBorder="1" applyAlignment="1">
      <alignment wrapText="1"/>
    </xf>
    <xf numFmtId="0" fontId="24" fillId="0" borderId="0" xfId="0" applyFont="1" applyAlignment="1">
      <alignment wrapText="1"/>
    </xf>
    <xf numFmtId="0" fontId="24" fillId="0" borderId="1" xfId="0" applyFont="1" applyBorder="1" applyAlignment="1">
      <alignment wrapText="1"/>
    </xf>
    <xf numFmtId="43" fontId="24" fillId="0" borderId="1" xfId="1" applyFont="1" applyBorder="1" applyAlignment="1">
      <alignment wrapText="1"/>
    </xf>
    <xf numFmtId="2" fontId="3" fillId="0" borderId="8" xfId="0" applyNumberFormat="1" applyFont="1" applyBorder="1" applyAlignment="1">
      <alignment wrapText="1"/>
    </xf>
    <xf numFmtId="0" fontId="3" fillId="0" borderId="8" xfId="0" applyFont="1" applyBorder="1" applyAlignment="1">
      <alignment wrapText="1"/>
    </xf>
    <xf numFmtId="0" fontId="3" fillId="0" borderId="1" xfId="0" applyFont="1" applyBorder="1" applyAlignment="1">
      <alignment wrapText="1"/>
    </xf>
    <xf numFmtId="4" fontId="3" fillId="0" borderId="1" xfId="1" applyNumberFormat="1" applyFont="1" applyBorder="1" applyAlignment="1">
      <alignment wrapText="1"/>
    </xf>
    <xf numFmtId="0" fontId="3" fillId="0" borderId="0" xfId="0" applyFont="1" applyAlignment="1">
      <alignment wrapText="1"/>
    </xf>
    <xf numFmtId="0" fontId="25" fillId="0" borderId="0" xfId="0" applyFont="1"/>
    <xf numFmtId="0" fontId="0" fillId="0" borderId="8" xfId="0" applyFill="1" applyBorder="1" applyAlignment="1">
      <alignment wrapText="1"/>
    </xf>
    <xf numFmtId="2" fontId="26" fillId="0" borderId="8" xfId="0" applyNumberFormat="1" applyFont="1" applyBorder="1" applyAlignment="1">
      <alignment wrapText="1"/>
    </xf>
    <xf numFmtId="0" fontId="26" fillId="0" borderId="12" xfId="0" applyFont="1" applyBorder="1" applyAlignment="1">
      <alignment wrapText="1"/>
    </xf>
    <xf numFmtId="43" fontId="26" fillId="0" borderId="12" xfId="1" applyFont="1" applyBorder="1" applyAlignment="1">
      <alignment wrapText="1"/>
    </xf>
    <xf numFmtId="43" fontId="26" fillId="0" borderId="8" xfId="1" applyFont="1" applyBorder="1" applyAlignment="1">
      <alignment wrapText="1"/>
    </xf>
    <xf numFmtId="43" fontId="26" fillId="0" borderId="12" xfId="0" applyNumberFormat="1" applyFont="1" applyBorder="1" applyAlignment="1">
      <alignment wrapText="1"/>
    </xf>
    <xf numFmtId="0" fontId="26" fillId="0" borderId="12" xfId="0" applyFont="1" applyFill="1" applyBorder="1" applyAlignment="1">
      <alignment wrapText="1"/>
    </xf>
    <xf numFmtId="4" fontId="26" fillId="0" borderId="1" xfId="1" applyNumberFormat="1" applyFont="1" applyBorder="1" applyAlignment="1">
      <alignment wrapText="1"/>
    </xf>
    <xf numFmtId="0" fontId="26" fillId="0" borderId="0" xfId="0" applyFont="1" applyAlignment="1">
      <alignment wrapText="1"/>
    </xf>
    <xf numFmtId="0" fontId="20" fillId="2" borderId="10" xfId="1" applyNumberFormat="1" applyFont="1" applyFill="1" applyBorder="1" applyAlignment="1">
      <alignment horizontal="center" vertical="center" wrapText="1"/>
    </xf>
    <xf numFmtId="0" fontId="26" fillId="0" borderId="12" xfId="1" applyNumberFormat="1" applyFont="1" applyBorder="1" applyAlignment="1">
      <alignment wrapText="1"/>
    </xf>
    <xf numFmtId="0" fontId="0" fillId="0" borderId="8" xfId="1" applyNumberFormat="1" applyFont="1" applyBorder="1" applyAlignment="1">
      <alignment wrapText="1"/>
    </xf>
    <xf numFmtId="0" fontId="0" fillId="0" borderId="0" xfId="1" applyNumberFormat="1" applyFont="1" applyAlignment="1">
      <alignment wrapText="1"/>
    </xf>
    <xf numFmtId="2" fontId="27" fillId="0" borderId="8" xfId="0" applyNumberFormat="1" applyFont="1" applyBorder="1" applyAlignment="1">
      <alignment wrapText="1"/>
    </xf>
    <xf numFmtId="0" fontId="27" fillId="0" borderId="8" xfId="0" applyFont="1" applyBorder="1" applyAlignment="1">
      <alignment wrapText="1"/>
    </xf>
    <xf numFmtId="43" fontId="27" fillId="0" borderId="8" xfId="1" applyFont="1" applyBorder="1" applyAlignment="1">
      <alignment wrapText="1"/>
    </xf>
    <xf numFmtId="43" fontId="27" fillId="0" borderId="8" xfId="0" applyNumberFormat="1" applyFont="1" applyBorder="1" applyAlignment="1">
      <alignment wrapText="1"/>
    </xf>
    <xf numFmtId="0" fontId="27" fillId="0" borderId="1" xfId="0" applyFont="1" applyFill="1" applyBorder="1" applyAlignment="1">
      <alignment wrapText="1"/>
    </xf>
    <xf numFmtId="0" fontId="27" fillId="0" borderId="8" xfId="1" applyNumberFormat="1" applyFont="1" applyBorder="1" applyAlignment="1">
      <alignment wrapText="1"/>
    </xf>
    <xf numFmtId="4" fontId="27" fillId="0" borderId="1" xfId="1" applyNumberFormat="1" applyFont="1" applyBorder="1" applyAlignment="1">
      <alignment wrapText="1"/>
    </xf>
    <xf numFmtId="0" fontId="27" fillId="0" borderId="0" xfId="0" applyFont="1" applyAlignment="1">
      <alignment wrapText="1"/>
    </xf>
    <xf numFmtId="43" fontId="28" fillId="2" borderId="10" xfId="1" applyFont="1" applyFill="1" applyBorder="1" applyAlignment="1">
      <alignment horizontal="center" vertical="center" wrapText="1"/>
    </xf>
    <xf numFmtId="4" fontId="29" fillId="0" borderId="12" xfId="1" applyNumberFormat="1" applyFont="1" applyBorder="1" applyAlignment="1">
      <alignment wrapText="1"/>
    </xf>
    <xf numFmtId="4" fontId="30" fillId="0" borderId="8" xfId="1" applyNumberFormat="1" applyFont="1" applyBorder="1" applyAlignment="1">
      <alignment wrapText="1"/>
    </xf>
    <xf numFmtId="4" fontId="29" fillId="0" borderId="8" xfId="1" applyNumberFormat="1" applyFont="1" applyBorder="1" applyAlignment="1">
      <alignment wrapText="1"/>
    </xf>
    <xf numFmtId="43" fontId="30" fillId="0" borderId="0" xfId="1" applyFont="1" applyAlignment="1">
      <alignment wrapText="1"/>
    </xf>
    <xf numFmtId="4" fontId="0" fillId="0" borderId="8" xfId="1" applyNumberFormat="1" applyFont="1" applyBorder="1" applyAlignment="1">
      <alignment wrapText="1"/>
    </xf>
    <xf numFmtId="43" fontId="24" fillId="0" borderId="8" xfId="0" applyNumberFormat="1" applyFont="1" applyBorder="1" applyAlignment="1">
      <alignment wrapText="1"/>
    </xf>
    <xf numFmtId="0" fontId="24" fillId="0" borderId="1" xfId="0" applyFont="1" applyFill="1" applyBorder="1" applyAlignment="1">
      <alignment wrapText="1"/>
    </xf>
    <xf numFmtId="0" fontId="24" fillId="0" borderId="1" xfId="1" applyNumberFormat="1" applyFont="1" applyBorder="1" applyAlignment="1">
      <alignment wrapText="1"/>
    </xf>
    <xf numFmtId="0" fontId="24" fillId="0" borderId="8" xfId="1" applyNumberFormat="1" applyFont="1" applyBorder="1" applyAlignment="1">
      <alignment wrapText="1"/>
    </xf>
    <xf numFmtId="4" fontId="24" fillId="0" borderId="8" xfId="1" applyNumberFormat="1" applyFont="1" applyBorder="1" applyAlignment="1">
      <alignment wrapText="1"/>
    </xf>
    <xf numFmtId="2" fontId="24" fillId="0" borderId="12" xfId="0" applyNumberFormat="1" applyFont="1" applyBorder="1" applyAlignment="1">
      <alignment wrapText="1"/>
    </xf>
    <xf numFmtId="0" fontId="24" fillId="0" borderId="12" xfId="0" applyFont="1" applyBorder="1" applyAlignment="1">
      <alignment wrapText="1"/>
    </xf>
    <xf numFmtId="43" fontId="24" fillId="0" borderId="12" xfId="1" applyFont="1" applyBorder="1" applyAlignment="1">
      <alignment wrapText="1"/>
    </xf>
    <xf numFmtId="43" fontId="3" fillId="0" borderId="8" xfId="0" applyNumberFormat="1" applyFont="1" applyBorder="1" applyAlignment="1">
      <alignment wrapText="1"/>
    </xf>
    <xf numFmtId="0" fontId="3" fillId="0" borderId="1" xfId="0" applyFont="1" applyFill="1" applyBorder="1" applyAlignment="1">
      <alignment wrapText="1"/>
    </xf>
    <xf numFmtId="0" fontId="3" fillId="0" borderId="8" xfId="1" applyNumberFormat="1" applyFont="1" applyBorder="1" applyAlignment="1">
      <alignment wrapText="1"/>
    </xf>
    <xf numFmtId="0" fontId="24" fillId="0" borderId="8" xfId="0" applyFont="1" applyFill="1" applyBorder="1" applyAlignment="1">
      <alignment wrapText="1"/>
    </xf>
    <xf numFmtId="0" fontId="3" fillId="0" borderId="8" xfId="0" applyFont="1" applyFill="1" applyBorder="1" applyAlignment="1">
      <alignment wrapText="1"/>
    </xf>
    <xf numFmtId="0" fontId="32" fillId="0" borderId="8" xfId="0" applyFont="1" applyBorder="1" applyAlignment="1">
      <alignment wrapText="1"/>
    </xf>
    <xf numFmtId="2" fontId="3" fillId="0" borderId="12" xfId="0" applyNumberFormat="1" applyFont="1" applyBorder="1" applyAlignment="1">
      <alignment wrapText="1"/>
    </xf>
    <xf numFmtId="0" fontId="3" fillId="0" borderId="12" xfId="0" applyFont="1" applyBorder="1" applyAlignment="1">
      <alignment wrapText="1"/>
    </xf>
    <xf numFmtId="43" fontId="3" fillId="0" borderId="12" xfId="1" applyFont="1" applyBorder="1" applyAlignment="1">
      <alignment wrapText="1"/>
    </xf>
    <xf numFmtId="43" fontId="3" fillId="0" borderId="1" xfId="1" applyFont="1" applyBorder="1" applyAlignment="1">
      <alignment wrapText="1"/>
    </xf>
    <xf numFmtId="0" fontId="3" fillId="0" borderId="1" xfId="1" applyNumberFormat="1" applyFont="1" applyBorder="1" applyAlignment="1">
      <alignment wrapText="1"/>
    </xf>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1" xr:uid="{9E704763-5DE6-44DD-AF20-F9845AED0C6C}"/>
  </cellStyles>
  <dxfs count="54">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outline val="0"/>
        <shadow val="0"/>
        <u val="none"/>
        <vertAlign val="baseline"/>
        <sz val="11"/>
        <color auto="1"/>
        <name val="David"/>
        <family val="2"/>
        <scheme val="none"/>
      </font>
    </dxf>
    <dxf>
      <alignment horizontal="center" vertical="center" textRotation="0" wrapText="0" shrinkToFit="0" readingOrder="0"/>
    </dxf>
    <dxf>
      <font>
        <b val="0"/>
        <i val="0"/>
        <strike val="0"/>
        <condense val="0"/>
        <extend val="0"/>
        <outline val="0"/>
        <shadow val="0"/>
        <u val="none"/>
        <vertAlign val="baseline"/>
        <sz val="11"/>
        <color theme="1"/>
        <name val="David"/>
        <family val="2"/>
        <scheme val="none"/>
      </font>
      <numFmt numFmtId="35" formatCode="_ * #,##0.00_ ;_ * \-#,##0.00_ ;_ * &quot;-&quot;??_ ;_ @_ "/>
    </dxf>
    <dxf>
      <font>
        <b val="0"/>
        <i val="0"/>
        <strike val="0"/>
        <u val="none"/>
        <sz val="11"/>
        <color theme="1"/>
        <name val="David"/>
      </font>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family val="2"/>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family val="2"/>
        <scheme val="none"/>
      </font>
    </dxf>
    <dxf>
      <font>
        <b val="0"/>
        <i val="0"/>
        <strike val="0"/>
        <outline val="0"/>
        <shadow val="0"/>
        <u val="none"/>
        <vertAlign val="baseline"/>
        <sz val="11"/>
        <color auto="1"/>
        <name val="David"/>
        <family val="2"/>
        <scheme val="none"/>
      </font>
    </dxf>
    <dxf>
      <alignment horizontal="center" vertical="center" textRotation="0" wrapText="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Arial"/>
        <family val="2"/>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auto="1"/>
        <name val="Arial"/>
        <family val="2"/>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charset val="177"/>
        <scheme val="minor"/>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5" formatCode="_ * #,##0.00_ ;_ * \-#,##0.00_ ;_ * &quot;-&quot;??_ ;_ @_ "/>
    </dxf>
    <dxf>
      <numFmt numFmtId="35" formatCode="_ * #,##0.00_ ;_ * \-#,##0.00_ ;_ * &quot;-&quot;??_ ;_ @_ "/>
    </dxf>
    <dxf>
      <alignment horizontal="center" vertical="center" textRotation="0" wrapText="1" indent="0" justifyLastLine="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493;&#1506;&#1491;&#1514;%20&#1495;&#1512;&#1497;&#1490;&#1497;&#1501;\&#1493;&#1506;&#1491;&#1514;%20&#1495;&#1512;&#1497;&#1490;&#1497;&#1501;%202021\&#1508;&#1506;&#1497;&#1500;&#1493;&#1514;%20&#1502;&#1493;&#1500;%20&#1493;&#1506;&#1491;&#1514;%20&#1495;&#1512;&#1497;&#1490;&#1497;&#1501;%20&#1489;&#1502;&#1513;&#1512;&#1491;%20&#1492;&#1488;&#1493;&#1510;&#1512;%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וח פניות לאוצר 2020"/>
      <sheetName val="דוח פניות לאוצר 2021"/>
      <sheetName val="פעילות מול ועדת חריגים במשרד הא"/>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3" totalsRowShown="0" headerRowDxfId="53">
  <autoFilter ref="A1:J13"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DxfId="52" dataCellStyle="Comma">
      <calculatedColumnFormula>[1]!טבלה3[[#This Row],[סכום מבוקש]]-[1]!טבלה3[[#This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DxfId="51" dataCellStyle="Comma">
      <calculatedColumnFormula>טבלה3[[#This Row],[סכום מאושר]]-טבלה3[[#This Row],[ניצול מתוך הפנייה ]]</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38" totalsRowCount="1" headerRowDxfId="50" totalsRowDxfId="49" totalsRowBorderDxfId="48" headerRowCellStyle="Comma">
  <autoFilter ref="A1:O37" xr:uid="{00000000-0009-0000-0100-000001000000}">
    <filterColumn colId="8">
      <filters>
        <filter val="38300196"/>
      </filters>
    </filterColumn>
  </autoFilter>
  <tableColumns count="15">
    <tableColumn id="1" xr3:uid="{3CB35F64-4895-4E43-A017-CD430BFD0AAC}" name="מועד" dataDxfId="47" totalsRowDxfId="46"/>
    <tableColumn id="2" xr3:uid="{E0EF0061-9D6E-4EA0-951A-543A78971054}" name="שם הספק " dataDxfId="45" totalsRowDxfId="44"/>
    <tableColumn id="3" xr3:uid="{B9494E87-B48A-45EB-BFE4-02C4CE5A79ED}" name="מטרת ההתקשרות " dataDxfId="43" totalsRowDxfId="42"/>
    <tableColumn id="4" xr3:uid="{AE2BF67C-A96D-48C8-81E4-15985CF61F94}" name="סכום מבוקש בש&quot;ח כולל מעמ!!" dataDxfId="41" totalsRowDxfId="40" dataCellStyle="Comma" totalsRowCellStyle="Comma"/>
    <tableColumn id="5" xr3:uid="{0D975C3F-2880-4EE3-BB57-E775998ACF5D}" name="סכום התקשרות מצטבר מול הספק (אם רלוונטי)" dataDxfId="39" totalsRowDxfId="38" dataCellStyle="Comma" totalsRowCellStyle="Comma"/>
    <tableColumn id="6" xr3:uid="{5DFC74E0-289F-44A7-B747-6D26434BF84E}" name="יתרה מתקרת ההתקשרות" dataDxfId="37" totalsRowDxfId="36"/>
    <tableColumn id="7" xr3:uid="{8C752036-2A0B-4CE3-9EE1-1EFDEC1BDD08}" name="אושר בוועדת חריגים (אם כן, לציין מס פנייה ותאריך אישור)" dataDxfId="35" totalsRowDxfId="34"/>
    <tableColumn id="8" xr3:uid="{42CB213B-9B58-46B5-A4C3-E7AC44F545E6}" name="אושר בוועדת מכרזים (אם כן, לציין תאריך דיון)" dataDxfId="33" totalsRowDxfId="32"/>
    <tableColumn id="9" xr3:uid="{C5A2CEF8-45CD-4DC3-8CEB-BA3719BB839E}" name="תקנה/ פריט התחייבות" dataDxfId="31" totalsRowDxfId="30"/>
    <tableColumn id="10" xr3:uid="{E8696322-7DB9-4E4F-8FEC-CCFC7C1E0DED}" name="שם תקנה" dataDxfId="29" totalsRowDxfId="28"/>
    <tableColumn id="11" xr3:uid="{990FCFAF-4B96-49B6-9ABC-1EC26E0D458A}" name="מרכז קרנות" dataDxfId="27" totalsRowDxfId="26"/>
    <tableColumn id="12" xr3:uid="{D2685F56-9559-4BCB-9C42-E1783937F29B}" name="שם מרכז קרנות" dataDxfId="25" totalsRowDxfId="24"/>
    <tableColumn id="16" xr3:uid="{47B6589E-02A1-4CBF-8185-5C0BFBF8E50F}" name="נוצרה/ הוגדלה התחייבות מספר" dataDxfId="23" totalsRowDxfId="22" dataCellStyle="Comma" totalsRowCellStyle="Comma"/>
    <tableColumn id="17" xr3:uid="{E8C11108-0D61-45B2-B9EC-2B58AB4CBE93}" name="שווי שורה/ הגדלה " totalsRowFunction="sum" dataDxfId="21" totalsRowDxfId="20" dataCellStyle="Comma" totalsRowCellStyle="Comma"/>
    <tableColumn id="18" xr3:uid="{357D6823-DA9C-4E5F-9140-B02D30CFCD74}" name="הפרש יתרה שלא נוצלה מהחרגה" dataDxfId="19" totalsRowDxfId="18" dataCellStyle="Comma" totalsRowCellStyle="Comma">
      <calculatedColumnFormula>D2-N2</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DE7731-6046-407F-BA8E-5DC4AA5E806E}" name="Table133232323524242424" displayName="Table133232323524242424" ref="A7:D18" totalsRowCount="1" headerRowDxfId="17">
  <autoFilter ref="A7:D17" xr:uid="{00000000-0009-0000-0100-000001000000}"/>
  <sortState xmlns:xlrd2="http://schemas.microsoft.com/office/spreadsheetml/2017/richdata2" ref="A8:D17">
    <sortCondition ref="D7:D17"/>
  </sortState>
  <tableColumns count="4">
    <tableColumn id="1" xr3:uid="{D5A15CA8-D513-49A8-A88A-BB63AA6C89F5}" name="מס" dataDxfId="16" totalsRowDxfId="15"/>
    <tableColumn id="2" xr3:uid="{1309900F-5F96-43FB-9E41-4215603716A4}" name="ספק" dataDxfId="14" totalsRowDxfId="13"/>
    <tableColumn id="3" xr3:uid="{A0212B30-8B7D-4154-83E6-3EB830A54E45}" name="נושא ההתקשרות" dataDxfId="12" totalsRowDxfId="11"/>
    <tableColumn id="4" xr3:uid="{03A846E8-F60F-43E4-AE75-53B62533B8F8}" name="סכום ההתקשרות (סכום ההתקשרות ולא סכום המזומן)" totalsRowFunction="sum" dataDxfId="10" totalsRowDxfId="9"/>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2D09D9-74D5-477D-8D96-251387E329AC}" name="Table1332323235242424242" displayName="Table1332323235242424242" ref="A7:D19" totalsRowCount="1" headerRowDxfId="8">
  <autoFilter ref="A7:D18" xr:uid="{00000000-0009-0000-0100-000001000000}"/>
  <sortState xmlns:xlrd2="http://schemas.microsoft.com/office/spreadsheetml/2017/richdata2" ref="A8:D18">
    <sortCondition ref="D7:D18"/>
  </sortState>
  <tableColumns count="4">
    <tableColumn id="1" xr3:uid="{E500102E-CA11-48CA-B8E1-609921B54EA2}" name="מס" dataDxfId="7" totalsRowDxfId="6"/>
    <tableColumn id="2" xr3:uid="{C66D7AA4-9958-475C-BA2A-749699202A0F}" name="ספק" dataDxfId="5" totalsRowDxfId="4"/>
    <tableColumn id="3" xr3:uid="{7B3E03DF-03DF-4B9E-BDFC-E48F56B6F2C2}" name="נושא ההתקשרות" dataDxfId="3" totalsRowDxfId="2"/>
    <tableColumn id="4" xr3:uid="{B1A50DBE-9D82-41BA-B737-A30A38416607}" name="סכום ההתקשרות (סכום ההתקשרות ולא סכום המזומן)" totalsRowFunction="sum"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9"/>
  <sheetViews>
    <sheetView rightToLeft="1" zoomScale="90" zoomScaleNormal="90" workbookViewId="0">
      <pane ySplit="1" topLeftCell="A2" activePane="bottomLeft" state="frozen"/>
      <selection pane="bottomLeft" activeCell="A8" sqref="A8"/>
    </sheetView>
  </sheetViews>
  <sheetFormatPr defaultRowHeight="14.25" x14ac:dyDescent="0.2"/>
  <cols>
    <col min="2" max="2" width="12.125" customWidth="1"/>
    <col min="3" max="3" width="47.75" customWidth="1"/>
    <col min="4" max="4" width="14.875" style="19" customWidth="1"/>
    <col min="5" max="5" width="14.125" customWidth="1"/>
    <col min="6" max="6" width="14.75" style="19" bestFit="1" customWidth="1"/>
    <col min="7" max="7" width="15.875" style="19" customWidth="1"/>
    <col min="8" max="8" width="15.875" customWidth="1"/>
    <col min="9" max="9" width="12.375" bestFit="1" customWidth="1"/>
    <col min="10" max="10" width="14.125" bestFit="1" customWidth="1"/>
  </cols>
  <sheetData>
    <row r="1" spans="1:10" s="13" customFormat="1" ht="28.5" x14ac:dyDescent="0.2">
      <c r="A1" s="13" t="s">
        <v>16</v>
      </c>
      <c r="B1" s="13" t="s">
        <v>17</v>
      </c>
      <c r="C1" s="13" t="s">
        <v>18</v>
      </c>
      <c r="D1" s="20" t="s">
        <v>19</v>
      </c>
      <c r="E1" s="13" t="s">
        <v>20</v>
      </c>
      <c r="F1" s="20" t="s">
        <v>21</v>
      </c>
      <c r="G1" s="20" t="s">
        <v>23</v>
      </c>
      <c r="H1" s="13" t="s">
        <v>27</v>
      </c>
      <c r="I1" s="13" t="s">
        <v>28</v>
      </c>
      <c r="J1" s="13" t="s">
        <v>29</v>
      </c>
    </row>
    <row r="2" spans="1:10" ht="57" x14ac:dyDescent="0.2">
      <c r="A2">
        <v>34637</v>
      </c>
      <c r="B2" t="s">
        <v>25</v>
      </c>
      <c r="C2" s="18" t="s">
        <v>30</v>
      </c>
      <c r="D2" s="19">
        <v>5800000</v>
      </c>
      <c r="E2" t="s">
        <v>14</v>
      </c>
      <c r="F2" s="19">
        <v>5800000</v>
      </c>
      <c r="G2" s="19">
        <f>[1]!טבלה3[[#This Row],[סכום מבוקש]]-[1]!טבלה3[[#This Row],[סכום מאושר]]</f>
        <v>0</v>
      </c>
      <c r="H2" s="19"/>
      <c r="I2" s="19"/>
      <c r="J2" s="19">
        <f>טבלה3[[#This Row],[סכום מאושר]]-טבלה3[[#This Row],[ניצול מתוך הפנייה ]]</f>
        <v>5800000</v>
      </c>
    </row>
    <row r="3" spans="1:10" ht="28.5" x14ac:dyDescent="0.2">
      <c r="A3">
        <v>34657</v>
      </c>
      <c r="B3" t="s">
        <v>26</v>
      </c>
      <c r="C3" s="18" t="s">
        <v>31</v>
      </c>
      <c r="D3" s="19">
        <v>7500000</v>
      </c>
      <c r="E3" t="s">
        <v>14</v>
      </c>
      <c r="F3" s="19">
        <v>7500000</v>
      </c>
      <c r="G3" s="19">
        <f>[1]!טבלה3[[#This Row],[סכום מבוקש]]-[1]!טבלה3[[#This Row],[סכום מאושר]]</f>
        <v>0</v>
      </c>
      <c r="H3" s="19"/>
      <c r="I3" s="19">
        <f>'[2]2021'!$N$45</f>
        <v>2949415.3800000004</v>
      </c>
      <c r="J3" s="19">
        <f>טבלה3[[#This Row],[סכום מאושר]]-טבלה3[[#This Row],[ניצול מתוך הפנייה ]]</f>
        <v>4550584.6199999992</v>
      </c>
    </row>
    <row r="4" spans="1:10" x14ac:dyDescent="0.2">
      <c r="A4">
        <v>34803</v>
      </c>
      <c r="B4" t="s">
        <v>32</v>
      </c>
      <c r="C4" t="s">
        <v>33</v>
      </c>
      <c r="D4" s="19">
        <v>27500000</v>
      </c>
      <c r="E4" t="s">
        <v>14</v>
      </c>
      <c r="F4" s="19">
        <v>27500000</v>
      </c>
      <c r="G4" s="19">
        <f>[1]!טבלה3[[#This Row],[סכום מבוקש]]-[1]!טבלה3[[#This Row],[סכום מאושר]]</f>
        <v>0</v>
      </c>
      <c r="H4" s="19"/>
      <c r="I4" s="19">
        <f>'[3]חישובי יתרה'!$D$21</f>
        <v>5630872.7412999999</v>
      </c>
      <c r="J4" s="19">
        <f>טבלה3[[#This Row],[סכום מאושר]]-טבלה3[[#This Row],[ניצול מתוך הפנייה ]]</f>
        <v>21869127.258699998</v>
      </c>
    </row>
    <row r="5" spans="1:10" ht="42.75" x14ac:dyDescent="0.2">
      <c r="A5">
        <v>34894</v>
      </c>
      <c r="B5" t="s">
        <v>34</v>
      </c>
      <c r="C5" s="18" t="s">
        <v>35</v>
      </c>
      <c r="D5" s="19">
        <v>175500</v>
      </c>
      <c r="E5" t="s">
        <v>36</v>
      </c>
      <c r="G5" s="19">
        <f>[1]!טבלה3[[#This Row],[סכום מבוקש]]-[1]!טבלה3[[#This Row],[סכום מאושר]]</f>
        <v>175500</v>
      </c>
      <c r="H5" s="21" t="s">
        <v>37</v>
      </c>
      <c r="I5" s="19"/>
      <c r="J5" s="19">
        <f>טבלה3[[#This Row],[סכום מאושר]]-טבלה3[[#This Row],[ניצול מתוך הפנייה ]]</f>
        <v>0</v>
      </c>
    </row>
    <row r="6" spans="1:10" ht="85.5" x14ac:dyDescent="0.2">
      <c r="A6">
        <v>35092</v>
      </c>
      <c r="B6" t="s">
        <v>38</v>
      </c>
      <c r="C6" s="18" t="s">
        <v>39</v>
      </c>
      <c r="D6" s="19">
        <v>527700000</v>
      </c>
      <c r="E6" t="s">
        <v>14</v>
      </c>
      <c r="F6" s="19">
        <f>טבלה3[[#This Row],[סכום מבוקש]]</f>
        <v>527700000</v>
      </c>
      <c r="G6" s="19">
        <f>[1]!טבלה3[[#This Row],[סכום מבוקש]]-[1]!טבלה3[[#This Row],[סכום מאושר]]</f>
        <v>0</v>
      </c>
      <c r="H6" s="18" t="s">
        <v>40</v>
      </c>
      <c r="I6" s="19"/>
      <c r="J6" s="19">
        <f>טבלה3[[#This Row],[סכום מאושר]]-טבלה3[[#This Row],[ניצול מתוך הפנייה ]]</f>
        <v>527700000</v>
      </c>
    </row>
    <row r="7" spans="1:10" ht="28.5" x14ac:dyDescent="0.2">
      <c r="A7">
        <v>35254</v>
      </c>
      <c r="B7" t="s">
        <v>41</v>
      </c>
      <c r="C7" s="24" t="s">
        <v>42</v>
      </c>
      <c r="D7" s="19">
        <v>415584</v>
      </c>
      <c r="E7" t="s">
        <v>14</v>
      </c>
      <c r="F7" s="19">
        <f>טבלה3[[#This Row],[סכום מבוקש]]</f>
        <v>415584</v>
      </c>
      <c r="G7" s="19">
        <f>[1]!טבלה3[[#This Row],[סכום מבוקש]]-[1]!טבלה3[[#This Row],[סכום מאושר]]</f>
        <v>0</v>
      </c>
      <c r="H7" s="25" t="s">
        <v>43</v>
      </c>
      <c r="I7" s="19"/>
      <c r="J7" s="19">
        <f>טבלה3[[#This Row],[סכום מאושר]]-טבלה3[[#This Row],[ניצול מתוך הפנייה ]]</f>
        <v>415584</v>
      </c>
    </row>
    <row r="8" spans="1:10" ht="85.5" x14ac:dyDescent="0.2">
      <c r="A8">
        <v>35320</v>
      </c>
      <c r="B8" t="s">
        <v>44</v>
      </c>
      <c r="C8" s="24" t="s">
        <v>45</v>
      </c>
      <c r="D8" s="19">
        <v>150000</v>
      </c>
      <c r="E8" t="s">
        <v>14</v>
      </c>
      <c r="F8" s="19">
        <f>טבלה3[[#This Row],[סכום מבוקש]]</f>
        <v>150000</v>
      </c>
      <c r="G8" s="19">
        <f>[1]!טבלה3[[#This Row],[סכום מבוקש]]-[1]!טבלה3[[#This Row],[סכום מאושר]]</f>
        <v>0</v>
      </c>
      <c r="H8" s="19"/>
      <c r="I8" s="19"/>
      <c r="J8" s="19">
        <f>טבלה3[[#This Row],[סכום מאושר]]-טבלה3[[#This Row],[ניצול מתוך הפנייה ]]</f>
        <v>150000</v>
      </c>
    </row>
    <row r="9" spans="1:10" ht="28.5" x14ac:dyDescent="0.2">
      <c r="A9">
        <v>35363</v>
      </c>
      <c r="B9" t="s">
        <v>46</v>
      </c>
      <c r="C9" s="18" t="s">
        <v>47</v>
      </c>
      <c r="D9" s="19">
        <v>234000</v>
      </c>
      <c r="E9" t="s">
        <v>14</v>
      </c>
      <c r="F9" s="19">
        <f>טבלה3[[#This Row],[סכום מבוקש]]</f>
        <v>234000</v>
      </c>
      <c r="G9" s="19">
        <f>[1]!טבלה3[[#This Row],[סכום מבוקש]]-[1]!טבלה3[[#This Row],[סכום מאושר]]</f>
        <v>0</v>
      </c>
      <c r="H9" s="19"/>
      <c r="I9" s="19"/>
      <c r="J9" s="19">
        <f>טבלה3[[#This Row],[סכום מאושר]]-טבלה3[[#This Row],[ניצול מתוך הפנייה ]]</f>
        <v>234000</v>
      </c>
    </row>
    <row r="10" spans="1:10" x14ac:dyDescent="0.2">
      <c r="A10">
        <v>36094</v>
      </c>
      <c r="B10" t="s">
        <v>59</v>
      </c>
      <c r="C10" t="s">
        <v>60</v>
      </c>
      <c r="D10" s="19">
        <v>877500</v>
      </c>
      <c r="E10" t="s">
        <v>14</v>
      </c>
      <c r="F10" s="19">
        <v>877500</v>
      </c>
      <c r="G10" s="19">
        <f>[1]!טבלה3[[#This Row],[סכום מבוקש]]-[1]!טבלה3[[#This Row],[סכום מאושר]]</f>
        <v>0</v>
      </c>
      <c r="H10" s="19"/>
      <c r="I10" s="19"/>
      <c r="J10" s="19">
        <f>טבלה3[[#This Row],[סכום מאושר]]-טבלה3[[#This Row],[ניצול מתוך הפנייה ]]</f>
        <v>877500</v>
      </c>
    </row>
    <row r="11" spans="1:10" x14ac:dyDescent="0.2">
      <c r="A11" s="39">
        <v>36386</v>
      </c>
      <c r="B11" t="s">
        <v>61</v>
      </c>
      <c r="C11" t="s">
        <v>62</v>
      </c>
      <c r="D11" s="19">
        <v>526500</v>
      </c>
      <c r="E11" t="s">
        <v>65</v>
      </c>
      <c r="G11" s="19">
        <f>טבלה3[[#This Row],[סכום מבוקש]]-טבלה3[[#This Row],[סכום מאושר]]</f>
        <v>526500</v>
      </c>
      <c r="H11" s="19"/>
      <c r="I11" s="19"/>
      <c r="J11" s="19">
        <f>טבלה3[[#This Row],[סכום מאושר]]-טבלה3[[#This Row],[ניצול מתוך הפנייה ]]</f>
        <v>0</v>
      </c>
    </row>
    <row r="12" spans="1:10" ht="42.75" x14ac:dyDescent="0.2">
      <c r="A12">
        <v>36518</v>
      </c>
      <c r="B12" t="s">
        <v>63</v>
      </c>
      <c r="C12" s="18" t="s">
        <v>64</v>
      </c>
      <c r="D12" s="19">
        <v>517500000</v>
      </c>
      <c r="E12" t="s">
        <v>14</v>
      </c>
      <c r="F12" s="19">
        <v>517500000</v>
      </c>
      <c r="G12" s="19">
        <f>טבלה3[[#This Row],[סכום מבוקש]]-טבלה3[[#This Row],[סכום מאושר]]</f>
        <v>0</v>
      </c>
      <c r="H12" s="19"/>
      <c r="I12" s="19"/>
      <c r="J12" s="19">
        <f>טבלה3[[#This Row],[סכום מאושר]]-טבלה3[[#This Row],[ניצול מתוך הפנייה ]]</f>
        <v>517500000</v>
      </c>
    </row>
    <row r="13" spans="1:10" x14ac:dyDescent="0.2">
      <c r="A13" s="39">
        <v>36815</v>
      </c>
      <c r="B13" t="s">
        <v>76</v>
      </c>
      <c r="C13" t="s">
        <v>77</v>
      </c>
      <c r="D13" s="19">
        <v>750000</v>
      </c>
      <c r="E13" t="s">
        <v>14</v>
      </c>
      <c r="F13" s="19">
        <v>750000</v>
      </c>
      <c r="G13" s="19">
        <v>0</v>
      </c>
      <c r="H13" s="19"/>
      <c r="I13" s="19">
        <v>625000</v>
      </c>
      <c r="J13" s="42">
        <f>טבלה3[[#This Row],[סכום מאושר]]-טבלה3[[#This Row],[ניצול מתוך הפנייה ]]</f>
        <v>125000</v>
      </c>
    </row>
    <row r="14" spans="1:10" x14ac:dyDescent="0.2">
      <c r="H14" s="19"/>
      <c r="I14" s="19"/>
      <c r="J14" s="19"/>
    </row>
    <row r="15" spans="1:10" x14ac:dyDescent="0.2">
      <c r="H15" s="19"/>
      <c r="I15" s="19"/>
      <c r="J15" s="19"/>
    </row>
    <row r="16" spans="1:10" x14ac:dyDescent="0.2">
      <c r="H16" s="19"/>
      <c r="I16" s="19"/>
      <c r="J16" s="19"/>
    </row>
    <row r="17" spans="8:10" x14ac:dyDescent="0.2">
      <c r="H17" s="19"/>
      <c r="I17" s="19"/>
      <c r="J17" s="19"/>
    </row>
    <row r="18" spans="8:10" x14ac:dyDescent="0.2">
      <c r="H18" s="19"/>
      <c r="I18" s="19"/>
      <c r="J18" s="19"/>
    </row>
    <row r="19" spans="8:10" x14ac:dyDescent="0.2">
      <c r="H19" s="19"/>
      <c r="I19" s="19"/>
      <c r="J19" s="19"/>
    </row>
    <row r="20" spans="8:10" x14ac:dyDescent="0.2">
      <c r="H20" s="19"/>
      <c r="I20" s="19"/>
      <c r="J20" s="19"/>
    </row>
    <row r="21" spans="8:10" x14ac:dyDescent="0.2">
      <c r="H21" s="19"/>
      <c r="I21" s="19"/>
      <c r="J21" s="19"/>
    </row>
    <row r="22" spans="8:10" x14ac:dyDescent="0.2">
      <c r="H22" s="19"/>
      <c r="I22" s="19"/>
      <c r="J22" s="19"/>
    </row>
    <row r="23" spans="8:10" x14ac:dyDescent="0.2">
      <c r="H23" s="19"/>
      <c r="I23" s="19"/>
      <c r="J23" s="19"/>
    </row>
    <row r="24" spans="8:10" x14ac:dyDescent="0.2">
      <c r="H24" s="19"/>
      <c r="I24" s="19"/>
      <c r="J24" s="19"/>
    </row>
    <row r="25" spans="8:10" x14ac:dyDescent="0.2">
      <c r="H25" s="19"/>
      <c r="I25" s="19"/>
      <c r="J25" s="19"/>
    </row>
    <row r="26" spans="8:10" x14ac:dyDescent="0.2">
      <c r="H26" s="19"/>
      <c r="I26" s="19"/>
      <c r="J26" s="19"/>
    </row>
    <row r="27" spans="8:10" x14ac:dyDescent="0.2">
      <c r="H27" s="19"/>
      <c r="I27" s="19"/>
      <c r="J27" s="19"/>
    </row>
    <row r="28" spans="8:10" x14ac:dyDescent="0.2">
      <c r="H28" s="19"/>
      <c r="I28" s="19"/>
      <c r="J28" s="19"/>
    </row>
    <row r="29" spans="8:10" x14ac:dyDescent="0.2">
      <c r="H29" s="19"/>
      <c r="I29" s="19"/>
      <c r="J29" s="19"/>
    </row>
    <row r="30" spans="8:10" x14ac:dyDescent="0.2">
      <c r="H30" s="19"/>
      <c r="I30" s="19"/>
      <c r="J30" s="19"/>
    </row>
    <row r="31" spans="8:10" x14ac:dyDescent="0.2">
      <c r="H31" s="19"/>
      <c r="I31" s="19"/>
      <c r="J31" s="19"/>
    </row>
    <row r="32" spans="8:10" x14ac:dyDescent="0.2">
      <c r="H32" s="19"/>
      <c r="I32" s="19"/>
      <c r="J32" s="19"/>
    </row>
    <row r="33" spans="8:10" x14ac:dyDescent="0.2">
      <c r="H33" s="19"/>
      <c r="I33" s="19"/>
      <c r="J33" s="19"/>
    </row>
    <row r="34" spans="8:10" x14ac:dyDescent="0.2">
      <c r="H34" s="19"/>
      <c r="I34" s="19"/>
      <c r="J34" s="19"/>
    </row>
    <row r="35" spans="8:10" x14ac:dyDescent="0.2">
      <c r="H35" s="19"/>
      <c r="I35" s="19"/>
      <c r="J35" s="19"/>
    </row>
    <row r="36" spans="8:10" x14ac:dyDescent="0.2">
      <c r="H36" s="19"/>
      <c r="I36" s="19"/>
      <c r="J36" s="19"/>
    </row>
    <row r="37" spans="8:10" x14ac:dyDescent="0.2">
      <c r="H37" s="19"/>
      <c r="I37" s="19"/>
      <c r="J37" s="19"/>
    </row>
    <row r="38" spans="8:10" x14ac:dyDescent="0.2">
      <c r="H38" s="19"/>
      <c r="I38" s="19"/>
      <c r="J38" s="19"/>
    </row>
    <row r="39" spans="8:10" x14ac:dyDescent="0.2">
      <c r="H39" s="19"/>
      <c r="I39" s="19"/>
      <c r="J39" s="19"/>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R38"/>
  <sheetViews>
    <sheetView rightToLeft="1" zoomScale="80" zoomScaleNormal="80" workbookViewId="0">
      <pane ySplit="1" topLeftCell="A2" activePane="bottomLeft" state="frozen"/>
      <selection pane="bottomLeft" activeCell="N38" sqref="N38"/>
    </sheetView>
  </sheetViews>
  <sheetFormatPr defaultColWidth="9" defaultRowHeight="14.25" x14ac:dyDescent="0.2"/>
  <cols>
    <col min="1" max="1" width="6.875" style="36" customWidth="1"/>
    <col min="2" max="2" width="22.5" style="18" customWidth="1"/>
    <col min="3" max="3" width="31.5" style="18" customWidth="1"/>
    <col min="4" max="4" width="15.75" style="21" customWidth="1"/>
    <col min="5" max="5" width="15.125" style="21" customWidth="1"/>
    <col min="6" max="6" width="12.625" style="18" customWidth="1"/>
    <col min="7" max="7" width="16.25" style="18" customWidth="1"/>
    <col min="8" max="12" width="18.75" style="18" customWidth="1"/>
    <col min="13" max="13" width="21.125" style="69" bestFit="1" customWidth="1"/>
    <col min="14" max="14" width="14" style="82" bestFit="1" customWidth="1"/>
    <col min="15" max="15" width="18" style="35" bestFit="1" customWidth="1"/>
    <col min="16" max="17" width="13.5" style="18" hidden="1" customWidth="1"/>
    <col min="18" max="18" width="11.375" style="18" hidden="1" customWidth="1"/>
    <col min="19" max="16384" width="9" style="18"/>
  </cols>
  <sheetData>
    <row r="1" spans="1:18" s="34" customFormat="1" ht="45" x14ac:dyDescent="0.2">
      <c r="A1" s="29" t="s">
        <v>75</v>
      </c>
      <c r="B1" s="30" t="s">
        <v>6</v>
      </c>
      <c r="C1" s="31" t="s">
        <v>48</v>
      </c>
      <c r="D1" s="32" t="s">
        <v>7</v>
      </c>
      <c r="E1" s="32" t="s">
        <v>49</v>
      </c>
      <c r="F1" s="31" t="s">
        <v>50</v>
      </c>
      <c r="G1" s="31" t="s">
        <v>51</v>
      </c>
      <c r="H1" s="31" t="s">
        <v>52</v>
      </c>
      <c r="I1" s="31" t="s">
        <v>8</v>
      </c>
      <c r="J1" s="31" t="s">
        <v>9</v>
      </c>
      <c r="K1" s="31" t="s">
        <v>10</v>
      </c>
      <c r="L1" s="31" t="s">
        <v>11</v>
      </c>
      <c r="M1" s="66" t="s">
        <v>53</v>
      </c>
      <c r="N1" s="78" t="s">
        <v>54</v>
      </c>
      <c r="O1" s="33" t="s">
        <v>55</v>
      </c>
      <c r="P1" s="34" t="s">
        <v>56</v>
      </c>
      <c r="Q1" s="34" t="s">
        <v>57</v>
      </c>
      <c r="R1" s="34" t="s">
        <v>58</v>
      </c>
    </row>
    <row r="2" spans="1:18" s="65" customFormat="1" ht="28.5" hidden="1" x14ac:dyDescent="0.2">
      <c r="A2" s="58">
        <v>3.1</v>
      </c>
      <c r="B2" s="59" t="s">
        <v>89</v>
      </c>
      <c r="C2" s="59" t="s">
        <v>90</v>
      </c>
      <c r="D2" s="60">
        <f t="shared" ref="D2" si="0">4149.66*4.1</f>
        <v>17013.605999999996</v>
      </c>
      <c r="E2" s="61"/>
      <c r="F2" s="62"/>
      <c r="G2" s="59" t="s">
        <v>91</v>
      </c>
      <c r="H2" s="59"/>
      <c r="I2" s="63"/>
      <c r="J2" s="63"/>
      <c r="K2" s="63"/>
      <c r="L2" s="63"/>
      <c r="M2" s="67"/>
      <c r="N2" s="79"/>
      <c r="O2" s="64">
        <f t="shared" ref="O2:O37" si="1">D2-N2</f>
        <v>17013.605999999996</v>
      </c>
    </row>
    <row r="3" spans="1:18" s="48" customFormat="1" ht="28.5" hidden="1" x14ac:dyDescent="0.2">
      <c r="A3" s="44">
        <v>5.0999999999999996</v>
      </c>
      <c r="B3" s="45" t="s">
        <v>92</v>
      </c>
      <c r="C3" s="45" t="s">
        <v>93</v>
      </c>
      <c r="D3" s="46">
        <v>750000</v>
      </c>
      <c r="E3" s="46"/>
      <c r="F3" s="84"/>
      <c r="G3" s="45" t="s">
        <v>94</v>
      </c>
      <c r="H3" s="45"/>
      <c r="I3" s="85">
        <v>38300191</v>
      </c>
      <c r="J3" s="85" t="s">
        <v>12</v>
      </c>
      <c r="K3" s="85">
        <v>3690112</v>
      </c>
      <c r="L3" s="85" t="s">
        <v>22</v>
      </c>
      <c r="M3" s="87">
        <v>4501692444</v>
      </c>
      <c r="N3" s="88">
        <v>625000</v>
      </c>
      <c r="O3" s="47">
        <f t="shared" si="1"/>
        <v>125000</v>
      </c>
      <c r="P3" s="18"/>
      <c r="Q3" s="18"/>
      <c r="R3" s="18"/>
    </row>
    <row r="4" spans="1:18" hidden="1" x14ac:dyDescent="0.2">
      <c r="A4" s="38">
        <v>6.1</v>
      </c>
      <c r="B4" s="26" t="s">
        <v>95</v>
      </c>
      <c r="C4" s="26" t="s">
        <v>96</v>
      </c>
      <c r="D4" s="27">
        <f>27729*1.17</f>
        <v>32442.929999999997</v>
      </c>
      <c r="E4" s="27"/>
      <c r="F4" s="28"/>
      <c r="G4" s="26"/>
      <c r="H4" s="26" t="s">
        <v>97</v>
      </c>
      <c r="I4" s="57"/>
      <c r="J4" s="57"/>
      <c r="K4" s="57"/>
      <c r="L4" s="57"/>
      <c r="M4" s="68">
        <v>4501774319</v>
      </c>
      <c r="N4" s="80"/>
      <c r="O4" s="43">
        <f t="shared" si="1"/>
        <v>32442.929999999997</v>
      </c>
    </row>
    <row r="5" spans="1:18" s="48" customFormat="1" ht="42.75" hidden="1" x14ac:dyDescent="0.2">
      <c r="A5" s="44">
        <v>6.1</v>
      </c>
      <c r="B5" s="45" t="s">
        <v>98</v>
      </c>
      <c r="C5" s="45" t="s">
        <v>99</v>
      </c>
      <c r="D5" s="46">
        <v>25000000</v>
      </c>
      <c r="E5" s="46" t="s">
        <v>100</v>
      </c>
      <c r="F5" s="84"/>
      <c r="G5" s="45"/>
      <c r="H5" s="45"/>
      <c r="I5" s="85">
        <v>38300191</v>
      </c>
      <c r="J5" s="85" t="s">
        <v>12</v>
      </c>
      <c r="K5" s="85">
        <v>36901092</v>
      </c>
      <c r="L5" s="85" t="s">
        <v>101</v>
      </c>
      <c r="M5" s="87">
        <v>4502075600</v>
      </c>
      <c r="N5" s="88">
        <v>66569.38</v>
      </c>
      <c r="O5" s="47">
        <f t="shared" si="1"/>
        <v>24933430.620000001</v>
      </c>
      <c r="P5" s="18"/>
      <c r="Q5" s="18"/>
      <c r="R5" s="18"/>
    </row>
    <row r="6" spans="1:18" s="48" customFormat="1" hidden="1" x14ac:dyDescent="0.2">
      <c r="A6" s="44">
        <v>6.1</v>
      </c>
      <c r="B6" s="45" t="s">
        <v>102</v>
      </c>
      <c r="C6" s="45" t="s">
        <v>103</v>
      </c>
      <c r="D6" s="46">
        <v>3686</v>
      </c>
      <c r="E6" s="50"/>
      <c r="F6" s="84"/>
      <c r="G6" s="49"/>
      <c r="H6" s="49"/>
      <c r="I6" s="85">
        <v>38300191</v>
      </c>
      <c r="J6" s="85" t="s">
        <v>12</v>
      </c>
      <c r="K6" s="85">
        <v>3690112</v>
      </c>
      <c r="L6" s="85" t="s">
        <v>22</v>
      </c>
      <c r="M6" s="86">
        <v>4502077566</v>
      </c>
      <c r="N6" s="47">
        <v>8218.7900000000009</v>
      </c>
      <c r="O6" s="47">
        <f t="shared" si="1"/>
        <v>-4532.7900000000009</v>
      </c>
      <c r="P6" s="18"/>
      <c r="Q6" s="18"/>
      <c r="R6" s="18"/>
    </row>
    <row r="7" spans="1:18" s="48" customFormat="1" hidden="1" x14ac:dyDescent="0.2">
      <c r="A7" s="44">
        <v>6.1</v>
      </c>
      <c r="B7" s="90" t="s">
        <v>104</v>
      </c>
      <c r="C7" s="90" t="s">
        <v>105</v>
      </c>
      <c r="D7" s="91">
        <v>10530</v>
      </c>
      <c r="E7" s="46"/>
      <c r="F7" s="84"/>
      <c r="G7" s="45"/>
      <c r="H7" s="45"/>
      <c r="I7" s="85">
        <v>38300191</v>
      </c>
      <c r="J7" s="85" t="s">
        <v>12</v>
      </c>
      <c r="K7" s="85">
        <v>3690112</v>
      </c>
      <c r="L7" s="85" t="s">
        <v>22</v>
      </c>
      <c r="M7" s="87">
        <v>4502077583</v>
      </c>
      <c r="N7" s="88">
        <v>10530</v>
      </c>
      <c r="O7" s="47">
        <f t="shared" si="1"/>
        <v>0</v>
      </c>
      <c r="P7" s="18"/>
      <c r="Q7" s="18"/>
      <c r="R7" s="18"/>
    </row>
    <row r="8" spans="1:18" s="48" customFormat="1" hidden="1" x14ac:dyDescent="0.2">
      <c r="A8" s="44">
        <v>11.1</v>
      </c>
      <c r="B8" s="45" t="s">
        <v>106</v>
      </c>
      <c r="C8" s="45" t="s">
        <v>107</v>
      </c>
      <c r="D8" s="46">
        <v>28641.599999999999</v>
      </c>
      <c r="E8" s="46"/>
      <c r="F8" s="84"/>
      <c r="G8" s="45"/>
      <c r="H8" s="45"/>
      <c r="I8" s="85">
        <v>38300191</v>
      </c>
      <c r="J8" s="85" t="s">
        <v>12</v>
      </c>
      <c r="K8" s="85">
        <v>36901023</v>
      </c>
      <c r="L8" s="85" t="s">
        <v>68</v>
      </c>
      <c r="M8" s="87">
        <v>4502077921</v>
      </c>
      <c r="N8" s="88">
        <v>28641.599999999999</v>
      </c>
      <c r="O8" s="47">
        <f t="shared" si="1"/>
        <v>0</v>
      </c>
      <c r="P8" s="18"/>
      <c r="Q8" s="18"/>
      <c r="R8" s="18"/>
    </row>
    <row r="9" spans="1:18" s="55" customFormat="1" hidden="1" x14ac:dyDescent="0.2">
      <c r="A9" s="51">
        <v>11.1</v>
      </c>
      <c r="B9" s="52" t="s">
        <v>108</v>
      </c>
      <c r="C9" s="52" t="s">
        <v>109</v>
      </c>
      <c r="D9" s="37">
        <v>58.5</v>
      </c>
      <c r="E9" s="37"/>
      <c r="F9" s="92"/>
      <c r="G9" s="52"/>
      <c r="H9" s="52"/>
      <c r="I9" s="85">
        <v>38300191</v>
      </c>
      <c r="J9" s="93" t="s">
        <v>12</v>
      </c>
      <c r="K9" s="85">
        <v>36901024</v>
      </c>
      <c r="L9" s="93" t="s">
        <v>13</v>
      </c>
      <c r="M9" s="94">
        <v>4502078039</v>
      </c>
      <c r="N9" s="88">
        <v>58.5</v>
      </c>
      <c r="O9" s="54">
        <f t="shared" si="1"/>
        <v>0</v>
      </c>
      <c r="P9" s="18"/>
      <c r="Q9" s="18"/>
      <c r="R9" s="18"/>
    </row>
    <row r="10" spans="1:18" s="48" customFormat="1" ht="28.5" hidden="1" x14ac:dyDescent="0.2">
      <c r="A10" s="44">
        <v>11.1</v>
      </c>
      <c r="B10" s="45" t="s">
        <v>110</v>
      </c>
      <c r="C10" s="45" t="s">
        <v>67</v>
      </c>
      <c r="D10" s="46">
        <v>19936.8</v>
      </c>
      <c r="E10" s="50"/>
      <c r="F10" s="84"/>
      <c r="G10" s="49"/>
      <c r="H10" s="49"/>
      <c r="I10" s="85">
        <v>38300121</v>
      </c>
      <c r="J10" s="85" t="s">
        <v>73</v>
      </c>
      <c r="K10" s="85">
        <v>3690103</v>
      </c>
      <c r="L10" s="85" t="s">
        <v>74</v>
      </c>
      <c r="M10" s="86">
        <v>4502078365</v>
      </c>
      <c r="N10" s="47">
        <v>19936.8</v>
      </c>
      <c r="O10" s="47">
        <f t="shared" si="1"/>
        <v>0</v>
      </c>
      <c r="P10" s="18"/>
      <c r="Q10" s="18"/>
      <c r="R10" s="18"/>
    </row>
    <row r="11" spans="1:18" s="48" customFormat="1" ht="28.5" hidden="1" x14ac:dyDescent="0.2">
      <c r="A11" s="44">
        <v>12.1</v>
      </c>
      <c r="B11" s="45" t="s">
        <v>111</v>
      </c>
      <c r="C11" s="45" t="s">
        <v>112</v>
      </c>
      <c r="D11" s="46">
        <f>(29600*2)*1.17</f>
        <v>69264</v>
      </c>
      <c r="E11" s="46"/>
      <c r="F11" s="84"/>
      <c r="G11" s="45"/>
      <c r="H11" s="45" t="s">
        <v>113</v>
      </c>
      <c r="I11" s="85">
        <v>38300191</v>
      </c>
      <c r="J11" s="85" t="s">
        <v>12</v>
      </c>
      <c r="K11" s="85">
        <v>36901021</v>
      </c>
      <c r="L11" s="85" t="s">
        <v>15</v>
      </c>
      <c r="M11" s="87">
        <v>4502030601</v>
      </c>
      <c r="N11" s="88">
        <v>69264</v>
      </c>
      <c r="O11" s="47">
        <f t="shared" si="1"/>
        <v>0</v>
      </c>
      <c r="P11" s="18"/>
      <c r="Q11" s="18"/>
      <c r="R11" s="18"/>
    </row>
    <row r="12" spans="1:18" s="48" customFormat="1" hidden="1" x14ac:dyDescent="0.2">
      <c r="A12" s="44">
        <v>12.1</v>
      </c>
      <c r="B12" s="45" t="s">
        <v>114</v>
      </c>
      <c r="C12" s="45" t="s">
        <v>115</v>
      </c>
      <c r="D12" s="46">
        <v>14000</v>
      </c>
      <c r="E12" s="46" t="s">
        <v>116</v>
      </c>
      <c r="F12" s="84"/>
      <c r="G12" s="45"/>
      <c r="H12" s="45" t="s">
        <v>117</v>
      </c>
      <c r="I12" s="85">
        <v>38300191</v>
      </c>
      <c r="J12" s="85" t="s">
        <v>12</v>
      </c>
      <c r="K12" s="85">
        <v>36901021</v>
      </c>
      <c r="L12" s="85" t="s">
        <v>15</v>
      </c>
      <c r="M12" s="87">
        <v>4501944125</v>
      </c>
      <c r="N12" s="88">
        <f>14000*3.2</f>
        <v>44800</v>
      </c>
      <c r="O12" s="47">
        <f t="shared" si="1"/>
        <v>-30800</v>
      </c>
      <c r="P12" s="18"/>
      <c r="Q12" s="18"/>
      <c r="R12" s="18"/>
    </row>
    <row r="13" spans="1:18" s="55" customFormat="1" hidden="1" x14ac:dyDescent="0.2">
      <c r="A13" s="51">
        <v>12.1</v>
      </c>
      <c r="B13" s="52" t="s">
        <v>118</v>
      </c>
      <c r="C13" s="52" t="s">
        <v>119</v>
      </c>
      <c r="D13" s="37">
        <v>2106</v>
      </c>
      <c r="E13" s="37"/>
      <c r="F13" s="92"/>
      <c r="G13" s="52"/>
      <c r="H13" s="52"/>
      <c r="I13" s="95">
        <v>38300191</v>
      </c>
      <c r="J13" s="96" t="s">
        <v>12</v>
      </c>
      <c r="K13" s="95">
        <v>36901024</v>
      </c>
      <c r="L13" s="96" t="s">
        <v>13</v>
      </c>
      <c r="M13" s="94">
        <v>4502078843</v>
      </c>
      <c r="N13" s="88">
        <v>2106</v>
      </c>
      <c r="O13" s="54">
        <f t="shared" si="1"/>
        <v>0</v>
      </c>
      <c r="P13" s="18"/>
      <c r="Q13" s="18"/>
      <c r="R13" s="18"/>
    </row>
    <row r="14" spans="1:18" s="48" customFormat="1" hidden="1" x14ac:dyDescent="0.2">
      <c r="A14" s="44">
        <v>12.1</v>
      </c>
      <c r="B14" s="45" t="s">
        <v>120</v>
      </c>
      <c r="C14" s="45" t="s">
        <v>121</v>
      </c>
      <c r="D14" s="46">
        <v>35100</v>
      </c>
      <c r="E14" s="46"/>
      <c r="F14" s="84"/>
      <c r="G14" s="45"/>
      <c r="H14" s="45" t="s">
        <v>117</v>
      </c>
      <c r="I14" s="85">
        <v>38300191</v>
      </c>
      <c r="J14" s="85" t="s">
        <v>12</v>
      </c>
      <c r="K14" s="85">
        <v>3690112</v>
      </c>
      <c r="L14" s="85" t="s">
        <v>22</v>
      </c>
      <c r="M14" s="87">
        <v>4502078642</v>
      </c>
      <c r="N14" s="88">
        <v>35100</v>
      </c>
      <c r="O14" s="47">
        <f t="shared" si="1"/>
        <v>0</v>
      </c>
      <c r="P14" s="18"/>
      <c r="Q14" s="18"/>
      <c r="R14" s="18"/>
    </row>
    <row r="15" spans="1:18" s="48" customFormat="1" ht="28.5" hidden="1" x14ac:dyDescent="0.2">
      <c r="A15" s="44">
        <v>12.1</v>
      </c>
      <c r="B15" s="45" t="s">
        <v>122</v>
      </c>
      <c r="C15" s="45" t="s">
        <v>123</v>
      </c>
      <c r="D15" s="46">
        <v>150000</v>
      </c>
      <c r="E15" s="46"/>
      <c r="F15" s="84"/>
      <c r="G15" s="45" t="s">
        <v>124</v>
      </c>
      <c r="H15" s="45"/>
      <c r="I15" s="85">
        <v>38300191</v>
      </c>
      <c r="J15" s="85" t="s">
        <v>12</v>
      </c>
      <c r="K15" s="85">
        <v>3690113</v>
      </c>
      <c r="L15" s="85" t="s">
        <v>125</v>
      </c>
      <c r="M15" s="87">
        <v>4502079304</v>
      </c>
      <c r="N15" s="88">
        <v>100000</v>
      </c>
      <c r="O15" s="47">
        <f t="shared" si="1"/>
        <v>50000</v>
      </c>
      <c r="P15" s="18"/>
      <c r="Q15" s="18"/>
      <c r="R15" s="18"/>
    </row>
    <row r="16" spans="1:18" s="55" customFormat="1" hidden="1" x14ac:dyDescent="0.2">
      <c r="A16" s="51">
        <v>13.1</v>
      </c>
      <c r="B16" s="52" t="s">
        <v>126</v>
      </c>
      <c r="C16" s="52" t="s">
        <v>127</v>
      </c>
      <c r="D16" s="37">
        <f>12240*1.17</f>
        <v>14320.8</v>
      </c>
      <c r="E16" s="37"/>
      <c r="F16" s="92"/>
      <c r="G16" s="52"/>
      <c r="H16" s="52"/>
      <c r="I16" s="95">
        <v>38300191</v>
      </c>
      <c r="J16" s="96" t="s">
        <v>12</v>
      </c>
      <c r="K16" s="95">
        <v>36901024</v>
      </c>
      <c r="L16" s="96" t="s">
        <v>13</v>
      </c>
      <c r="M16" s="94">
        <v>4502081008</v>
      </c>
      <c r="N16" s="88">
        <v>14320.8</v>
      </c>
      <c r="O16" s="54">
        <f t="shared" si="1"/>
        <v>0</v>
      </c>
      <c r="P16" s="18"/>
      <c r="Q16" s="18"/>
      <c r="R16" s="18"/>
    </row>
    <row r="17" spans="1:18" s="55" customFormat="1" ht="30" hidden="1" x14ac:dyDescent="0.25">
      <c r="A17" s="51">
        <v>13.1</v>
      </c>
      <c r="B17" s="52" t="s">
        <v>128</v>
      </c>
      <c r="C17" s="45" t="s">
        <v>175</v>
      </c>
      <c r="D17" s="37">
        <v>12987</v>
      </c>
      <c r="E17" s="37"/>
      <c r="F17" s="92"/>
      <c r="G17" s="52"/>
      <c r="H17" s="52"/>
      <c r="I17" s="95">
        <v>38300191</v>
      </c>
      <c r="J17" s="96" t="s">
        <v>12</v>
      </c>
      <c r="K17" s="95">
        <v>36901024</v>
      </c>
      <c r="L17" s="96" t="s">
        <v>13</v>
      </c>
      <c r="M17" s="94">
        <v>4502080742</v>
      </c>
      <c r="N17" s="88">
        <v>12987</v>
      </c>
      <c r="O17" s="54">
        <f t="shared" si="1"/>
        <v>0</v>
      </c>
      <c r="P17" s="18"/>
      <c r="Q17" s="18"/>
      <c r="R17" s="18"/>
    </row>
    <row r="18" spans="1:18" s="48" customFormat="1" hidden="1" x14ac:dyDescent="0.2">
      <c r="A18" s="44">
        <v>13.1</v>
      </c>
      <c r="B18" s="45" t="s">
        <v>129</v>
      </c>
      <c r="C18" s="45" t="s">
        <v>130</v>
      </c>
      <c r="D18" s="46">
        <v>50000</v>
      </c>
      <c r="E18" s="46"/>
      <c r="F18" s="84"/>
      <c r="G18" s="45"/>
      <c r="H18" s="45" t="s">
        <v>117</v>
      </c>
      <c r="I18" s="85">
        <v>38300191</v>
      </c>
      <c r="J18" s="85" t="s">
        <v>12</v>
      </c>
      <c r="K18" s="85">
        <v>36901101</v>
      </c>
      <c r="L18" s="85" t="s">
        <v>131</v>
      </c>
      <c r="M18" s="87">
        <v>4501980766</v>
      </c>
      <c r="N18" s="88">
        <v>50000</v>
      </c>
      <c r="O18" s="47">
        <f t="shared" si="1"/>
        <v>0</v>
      </c>
      <c r="P18" s="18"/>
      <c r="Q18" s="18"/>
      <c r="R18" s="18"/>
    </row>
    <row r="19" spans="1:18" s="48" customFormat="1" ht="85.5" hidden="1" x14ac:dyDescent="0.2">
      <c r="A19" s="44">
        <v>17.100000000000001</v>
      </c>
      <c r="B19" s="45" t="s">
        <v>132</v>
      </c>
      <c r="C19" s="45" t="s">
        <v>133</v>
      </c>
      <c r="D19" s="46">
        <v>275181.53999999998</v>
      </c>
      <c r="E19" s="46"/>
      <c r="F19" s="84"/>
      <c r="G19" s="45"/>
      <c r="H19" s="45" t="s">
        <v>134</v>
      </c>
      <c r="I19" s="85">
        <v>38300191</v>
      </c>
      <c r="J19" s="85" t="s">
        <v>12</v>
      </c>
      <c r="K19" s="85">
        <v>36901021</v>
      </c>
      <c r="L19" s="85" t="s">
        <v>15</v>
      </c>
      <c r="M19" s="87">
        <v>4502080595</v>
      </c>
      <c r="N19" s="88">
        <v>275181.53999999998</v>
      </c>
      <c r="O19" s="47">
        <f t="shared" si="1"/>
        <v>0</v>
      </c>
      <c r="P19" s="18"/>
      <c r="Q19" s="18"/>
      <c r="R19" s="18"/>
    </row>
    <row r="20" spans="1:18" s="55" customFormat="1" ht="28.5" hidden="1" x14ac:dyDescent="0.2">
      <c r="A20" s="51">
        <v>18.100000000000001</v>
      </c>
      <c r="B20" s="52" t="s">
        <v>135</v>
      </c>
      <c r="C20" s="97" t="s">
        <v>136</v>
      </c>
      <c r="D20" s="37">
        <f>8000*1.17</f>
        <v>9360</v>
      </c>
      <c r="E20" s="37"/>
      <c r="F20" s="92"/>
      <c r="G20" s="52"/>
      <c r="H20" s="52"/>
      <c r="I20" s="95">
        <v>38300191</v>
      </c>
      <c r="J20" s="96" t="s">
        <v>12</v>
      </c>
      <c r="K20" s="95">
        <v>36901024</v>
      </c>
      <c r="L20" s="96" t="s">
        <v>13</v>
      </c>
      <c r="M20" s="94">
        <v>4502084733</v>
      </c>
      <c r="N20" s="88">
        <v>9360</v>
      </c>
      <c r="O20" s="54">
        <f t="shared" si="1"/>
        <v>0</v>
      </c>
      <c r="P20" s="18"/>
      <c r="Q20" s="18"/>
      <c r="R20" s="18"/>
    </row>
    <row r="21" spans="1:18" s="48" customFormat="1" ht="28.5" hidden="1" x14ac:dyDescent="0.2">
      <c r="A21" s="44">
        <v>19.100000000000001</v>
      </c>
      <c r="B21" s="45" t="s">
        <v>132</v>
      </c>
      <c r="C21" s="45" t="s">
        <v>137</v>
      </c>
      <c r="D21" s="46">
        <f>(4980*3.32)*1.17</f>
        <v>19344.311999999998</v>
      </c>
      <c r="E21" s="50"/>
      <c r="F21" s="84"/>
      <c r="G21" s="49"/>
      <c r="H21" s="49" t="s">
        <v>117</v>
      </c>
      <c r="I21" s="85">
        <v>38300191</v>
      </c>
      <c r="J21" s="85" t="s">
        <v>12</v>
      </c>
      <c r="K21" s="85">
        <v>36901021</v>
      </c>
      <c r="L21" s="85" t="s">
        <v>15</v>
      </c>
      <c r="M21" s="86">
        <v>4502082009</v>
      </c>
      <c r="N21" s="47">
        <v>18819.45</v>
      </c>
      <c r="O21" s="47">
        <f t="shared" si="1"/>
        <v>524.86199999999735</v>
      </c>
      <c r="P21" s="18"/>
      <c r="Q21" s="18"/>
      <c r="R21" s="18"/>
    </row>
    <row r="22" spans="1:18" s="48" customFormat="1" hidden="1" x14ac:dyDescent="0.2">
      <c r="A22" s="44">
        <v>19.100000000000001</v>
      </c>
      <c r="B22" s="90" t="s">
        <v>138</v>
      </c>
      <c r="C22" s="90" t="s">
        <v>139</v>
      </c>
      <c r="D22" s="91">
        <f>2136.7*1.17</f>
        <v>2499.9389999999999</v>
      </c>
      <c r="E22" s="50"/>
      <c r="F22" s="84"/>
      <c r="G22" s="49"/>
      <c r="H22" s="49"/>
      <c r="I22" s="85">
        <v>38300191</v>
      </c>
      <c r="J22" s="85" t="s">
        <v>12</v>
      </c>
      <c r="K22" s="85">
        <v>36901022</v>
      </c>
      <c r="L22" s="85" t="s">
        <v>140</v>
      </c>
      <c r="M22" s="86">
        <v>4501790556</v>
      </c>
      <c r="N22" s="47">
        <v>2499.94</v>
      </c>
      <c r="O22" s="47">
        <f t="shared" si="1"/>
        <v>-1.0000000002037268E-3</v>
      </c>
      <c r="P22" s="18"/>
      <c r="Q22" s="18"/>
      <c r="R22" s="18"/>
    </row>
    <row r="23" spans="1:18" s="48" customFormat="1" hidden="1" x14ac:dyDescent="0.2">
      <c r="A23" s="89">
        <v>24.1</v>
      </c>
      <c r="B23" s="90" t="s">
        <v>141</v>
      </c>
      <c r="C23" s="90" t="s">
        <v>142</v>
      </c>
      <c r="D23" s="91">
        <f>24384*1.17</f>
        <v>28529.279999999999</v>
      </c>
      <c r="E23" s="50"/>
      <c r="F23" s="84"/>
      <c r="G23" s="49"/>
      <c r="H23" s="49"/>
      <c r="I23" s="85">
        <v>38300191</v>
      </c>
      <c r="J23" s="85" t="s">
        <v>12</v>
      </c>
      <c r="K23" s="85">
        <v>36901021</v>
      </c>
      <c r="L23" s="85" t="s">
        <v>15</v>
      </c>
      <c r="M23" s="86">
        <v>4502084157</v>
      </c>
      <c r="N23" s="47">
        <v>28529.279999999999</v>
      </c>
      <c r="O23" s="47">
        <f t="shared" si="1"/>
        <v>0</v>
      </c>
      <c r="P23" s="18"/>
      <c r="Q23" s="18"/>
      <c r="R23" s="18"/>
    </row>
    <row r="24" spans="1:18" s="48" customFormat="1" hidden="1" x14ac:dyDescent="0.2">
      <c r="A24" s="89">
        <v>24.1</v>
      </c>
      <c r="B24" s="90" t="s">
        <v>143</v>
      </c>
      <c r="C24" s="90" t="s">
        <v>144</v>
      </c>
      <c r="D24" s="91">
        <v>11700</v>
      </c>
      <c r="E24" s="50"/>
      <c r="F24" s="84"/>
      <c r="G24" s="49"/>
      <c r="H24" s="49"/>
      <c r="I24" s="85">
        <v>38300191</v>
      </c>
      <c r="J24" s="85" t="s">
        <v>12</v>
      </c>
      <c r="K24" s="85">
        <v>3690102</v>
      </c>
      <c r="L24" s="85" t="s">
        <v>66</v>
      </c>
      <c r="M24" s="86">
        <v>4501502177</v>
      </c>
      <c r="N24" s="47">
        <v>11700</v>
      </c>
      <c r="O24" s="47">
        <f t="shared" si="1"/>
        <v>0</v>
      </c>
      <c r="P24" s="18"/>
      <c r="Q24" s="18"/>
      <c r="R24" s="18"/>
    </row>
    <row r="25" spans="1:18" s="55" customFormat="1" hidden="1" x14ac:dyDescent="0.2">
      <c r="A25" s="98">
        <v>24.1</v>
      </c>
      <c r="B25" s="99" t="s">
        <v>145</v>
      </c>
      <c r="C25" s="99" t="s">
        <v>146</v>
      </c>
      <c r="D25" s="100">
        <f>(78*150)*1.17</f>
        <v>13689</v>
      </c>
      <c r="E25" s="101"/>
      <c r="F25" s="92"/>
      <c r="G25" s="53"/>
      <c r="H25" s="53"/>
      <c r="I25" s="95">
        <v>38300191</v>
      </c>
      <c r="J25" s="96" t="s">
        <v>12</v>
      </c>
      <c r="K25" s="95">
        <v>36901024</v>
      </c>
      <c r="L25" s="96" t="s">
        <v>13</v>
      </c>
      <c r="M25" s="102">
        <v>4502083605</v>
      </c>
      <c r="N25" s="47">
        <v>13689</v>
      </c>
      <c r="O25" s="54">
        <f t="shared" si="1"/>
        <v>0</v>
      </c>
      <c r="P25" s="18"/>
      <c r="Q25" s="18"/>
      <c r="R25" s="18"/>
    </row>
    <row r="26" spans="1:18" s="48" customFormat="1" hidden="1" x14ac:dyDescent="0.2">
      <c r="A26" s="89">
        <v>24.1</v>
      </c>
      <c r="B26" s="90" t="s">
        <v>147</v>
      </c>
      <c r="C26" s="45" t="s">
        <v>148</v>
      </c>
      <c r="D26" s="91">
        <v>5015</v>
      </c>
      <c r="E26" s="46"/>
      <c r="F26" s="84"/>
      <c r="G26" s="45"/>
      <c r="H26" s="45"/>
      <c r="I26" s="85">
        <v>38300191</v>
      </c>
      <c r="J26" s="85" t="s">
        <v>12</v>
      </c>
      <c r="K26" s="85">
        <v>36901022</v>
      </c>
      <c r="L26" s="85" t="s">
        <v>140</v>
      </c>
      <c r="M26" s="87">
        <v>4501986943</v>
      </c>
      <c r="N26" s="88">
        <v>5015</v>
      </c>
      <c r="O26" s="47">
        <f t="shared" si="1"/>
        <v>0</v>
      </c>
      <c r="P26" s="18"/>
      <c r="Q26" s="18"/>
      <c r="R26" s="18"/>
    </row>
    <row r="27" spans="1:18" s="55" customFormat="1" hidden="1" x14ac:dyDescent="0.2">
      <c r="A27" s="51">
        <v>26.1</v>
      </c>
      <c r="B27" s="52" t="s">
        <v>149</v>
      </c>
      <c r="C27" s="52" t="s">
        <v>150</v>
      </c>
      <c r="D27" s="37">
        <f>7810*1.17</f>
        <v>9137.6999999999989</v>
      </c>
      <c r="E27" s="37"/>
      <c r="F27" s="92"/>
      <c r="G27" s="52"/>
      <c r="H27" s="52"/>
      <c r="I27" s="95">
        <v>38300191</v>
      </c>
      <c r="J27" s="96" t="s">
        <v>12</v>
      </c>
      <c r="K27" s="95">
        <v>36901024</v>
      </c>
      <c r="L27" s="96" t="s">
        <v>13</v>
      </c>
      <c r="M27" s="94">
        <v>4502085636</v>
      </c>
      <c r="N27" s="88">
        <v>9137.7000000000007</v>
      </c>
      <c r="O27" s="54">
        <f t="shared" si="1"/>
        <v>0</v>
      </c>
      <c r="P27" s="18"/>
      <c r="Q27" s="18"/>
      <c r="R27" s="18"/>
    </row>
    <row r="28" spans="1:18" s="48" customFormat="1" hidden="1" x14ac:dyDescent="0.2">
      <c r="A28" s="44">
        <v>26.1</v>
      </c>
      <c r="B28" s="45" t="s">
        <v>151</v>
      </c>
      <c r="C28" s="45" t="s">
        <v>152</v>
      </c>
      <c r="D28" s="46">
        <v>6000</v>
      </c>
      <c r="E28" s="46"/>
      <c r="F28" s="84"/>
      <c r="G28" s="45"/>
      <c r="H28" s="45"/>
      <c r="I28" s="85">
        <v>38300191</v>
      </c>
      <c r="J28" s="85" t="s">
        <v>12</v>
      </c>
      <c r="K28" s="85">
        <v>3690112</v>
      </c>
      <c r="L28" s="85" t="s">
        <v>22</v>
      </c>
      <c r="M28" s="87">
        <v>4502088078</v>
      </c>
      <c r="N28" s="88">
        <f>6000*1.17</f>
        <v>7020</v>
      </c>
      <c r="O28" s="47">
        <f t="shared" si="1"/>
        <v>-1020</v>
      </c>
      <c r="P28" s="18"/>
      <c r="Q28" s="18"/>
      <c r="R28" s="18"/>
    </row>
    <row r="29" spans="1:18" s="55" customFormat="1" hidden="1" x14ac:dyDescent="0.2">
      <c r="A29" s="51">
        <v>26.1</v>
      </c>
      <c r="B29" s="52" t="s">
        <v>153</v>
      </c>
      <c r="C29" s="52" t="s">
        <v>154</v>
      </c>
      <c r="D29" s="37">
        <f>7000*1.17</f>
        <v>8189.9999999999991</v>
      </c>
      <c r="E29" s="101"/>
      <c r="F29" s="92"/>
      <c r="G29" s="53"/>
      <c r="H29" s="53"/>
      <c r="I29" s="95">
        <v>38300191</v>
      </c>
      <c r="J29" s="96" t="s">
        <v>12</v>
      </c>
      <c r="K29" s="95">
        <v>36901024</v>
      </c>
      <c r="L29" s="96" t="s">
        <v>13</v>
      </c>
      <c r="M29" s="102">
        <v>4502084583</v>
      </c>
      <c r="N29" s="47">
        <v>8190</v>
      </c>
      <c r="O29" s="54">
        <f t="shared" si="1"/>
        <v>0</v>
      </c>
      <c r="P29" s="18"/>
      <c r="Q29" s="18"/>
      <c r="R29" s="18"/>
    </row>
    <row r="30" spans="1:18" s="48" customFormat="1" ht="28.5" hidden="1" x14ac:dyDescent="0.2">
      <c r="A30" s="44">
        <v>26.1</v>
      </c>
      <c r="B30" s="90" t="s">
        <v>155</v>
      </c>
      <c r="C30" s="90" t="s">
        <v>156</v>
      </c>
      <c r="D30" s="91">
        <v>50000</v>
      </c>
      <c r="E30" s="50"/>
      <c r="F30" s="84"/>
      <c r="G30" s="49"/>
      <c r="H30" s="49" t="s">
        <v>157</v>
      </c>
      <c r="I30" s="85">
        <v>38300191</v>
      </c>
      <c r="J30" s="85" t="s">
        <v>12</v>
      </c>
      <c r="K30" s="85">
        <v>36901091</v>
      </c>
      <c r="L30" s="85" t="s">
        <v>158</v>
      </c>
      <c r="M30" s="86">
        <v>4501973127</v>
      </c>
      <c r="N30" s="47">
        <v>50000</v>
      </c>
      <c r="O30" s="47">
        <f t="shared" si="1"/>
        <v>0</v>
      </c>
      <c r="P30" s="18"/>
      <c r="Q30" s="18"/>
      <c r="R30" s="18"/>
    </row>
    <row r="31" spans="1:18" s="48" customFormat="1" hidden="1" x14ac:dyDescent="0.2">
      <c r="A31" s="44">
        <v>28.1</v>
      </c>
      <c r="B31" s="45" t="s">
        <v>102</v>
      </c>
      <c r="C31" s="45" t="s">
        <v>159</v>
      </c>
      <c r="D31" s="46">
        <v>11989.72</v>
      </c>
      <c r="E31" s="46"/>
      <c r="F31" s="84"/>
      <c r="G31" s="45"/>
      <c r="H31" s="45"/>
      <c r="I31" s="85">
        <v>38300191</v>
      </c>
      <c r="J31" s="85" t="s">
        <v>12</v>
      </c>
      <c r="K31" s="85">
        <v>3690112</v>
      </c>
      <c r="L31" s="85" t="s">
        <v>22</v>
      </c>
      <c r="M31" s="87">
        <v>4502086921</v>
      </c>
      <c r="N31" s="88">
        <v>11989.72</v>
      </c>
      <c r="O31" s="47">
        <f t="shared" si="1"/>
        <v>0</v>
      </c>
      <c r="P31" s="18"/>
      <c r="Q31" s="18"/>
      <c r="R31" s="18"/>
    </row>
    <row r="32" spans="1:18" s="48" customFormat="1" hidden="1" x14ac:dyDescent="0.2">
      <c r="A32" s="44">
        <v>28.1</v>
      </c>
      <c r="B32" s="45" t="s">
        <v>122</v>
      </c>
      <c r="C32" s="45" t="s">
        <v>160</v>
      </c>
      <c r="D32" s="46">
        <v>250000</v>
      </c>
      <c r="E32" s="46"/>
      <c r="F32" s="84"/>
      <c r="G32" s="45"/>
      <c r="H32" s="49" t="s">
        <v>157</v>
      </c>
      <c r="I32" s="85">
        <v>38300121</v>
      </c>
      <c r="J32" s="85" t="s">
        <v>73</v>
      </c>
      <c r="K32" s="85">
        <v>36901031</v>
      </c>
      <c r="L32" s="85" t="s">
        <v>161</v>
      </c>
      <c r="M32" s="87">
        <v>4502000145</v>
      </c>
      <c r="N32" s="88">
        <v>250000</v>
      </c>
      <c r="O32" s="47">
        <f t="shared" si="1"/>
        <v>0</v>
      </c>
      <c r="P32" s="18"/>
      <c r="Q32" s="18"/>
      <c r="R32" s="18"/>
    </row>
    <row r="33" spans="1:18" s="77" customFormat="1" ht="28.5" hidden="1" x14ac:dyDescent="0.2">
      <c r="A33" s="70">
        <v>31.1</v>
      </c>
      <c r="B33" s="71" t="s">
        <v>162</v>
      </c>
      <c r="C33" s="71" t="s">
        <v>163</v>
      </c>
      <c r="D33" s="72">
        <f>3821*3</f>
        <v>11463</v>
      </c>
      <c r="E33" s="72"/>
      <c r="F33" s="73"/>
      <c r="G33" s="71"/>
      <c r="H33" s="71"/>
      <c r="I33" s="74">
        <v>38300191</v>
      </c>
      <c r="J33" s="74" t="s">
        <v>12</v>
      </c>
      <c r="K33" s="74">
        <v>36901027</v>
      </c>
      <c r="L33" s="74" t="s">
        <v>164</v>
      </c>
      <c r="M33" s="75"/>
      <c r="N33" s="81"/>
      <c r="O33" s="76">
        <f t="shared" si="1"/>
        <v>11463</v>
      </c>
    </row>
    <row r="34" spans="1:18" s="48" customFormat="1" ht="28.5" hidden="1" x14ac:dyDescent="0.2">
      <c r="A34" s="44">
        <v>31.1</v>
      </c>
      <c r="B34" s="45" t="s">
        <v>165</v>
      </c>
      <c r="C34" s="45" t="s">
        <v>166</v>
      </c>
      <c r="D34" s="46">
        <v>400000</v>
      </c>
      <c r="E34" s="46"/>
      <c r="F34" s="84"/>
      <c r="G34" s="45"/>
      <c r="H34" s="49" t="s">
        <v>157</v>
      </c>
      <c r="I34" s="85">
        <v>38300191</v>
      </c>
      <c r="J34" s="85" t="s">
        <v>12</v>
      </c>
      <c r="K34" s="85">
        <v>36901026</v>
      </c>
      <c r="L34" s="85" t="s">
        <v>167</v>
      </c>
      <c r="M34" s="87">
        <v>4501765981</v>
      </c>
      <c r="N34" s="88">
        <v>151034.07999999999</v>
      </c>
      <c r="O34" s="47">
        <f t="shared" si="1"/>
        <v>248965.92</v>
      </c>
      <c r="P34" s="18"/>
      <c r="Q34" s="18"/>
      <c r="R34" s="18"/>
    </row>
    <row r="35" spans="1:18" s="48" customFormat="1" hidden="1" x14ac:dyDescent="0.2">
      <c r="A35" s="44">
        <v>31.1</v>
      </c>
      <c r="B35" s="45" t="s">
        <v>168</v>
      </c>
      <c r="C35" s="45" t="s">
        <v>169</v>
      </c>
      <c r="D35" s="46">
        <f>185000*1.17</f>
        <v>216450</v>
      </c>
      <c r="E35" s="50"/>
      <c r="F35" s="84"/>
      <c r="G35" s="49"/>
      <c r="H35" s="49" t="s">
        <v>157</v>
      </c>
      <c r="I35" s="85">
        <v>38300191</v>
      </c>
      <c r="J35" s="85" t="s">
        <v>12</v>
      </c>
      <c r="K35" s="85">
        <v>36901021</v>
      </c>
      <c r="L35" s="85" t="s">
        <v>15</v>
      </c>
      <c r="M35" s="86">
        <v>4501470109</v>
      </c>
      <c r="N35" s="47">
        <v>216450</v>
      </c>
      <c r="O35" s="47">
        <f t="shared" si="1"/>
        <v>0</v>
      </c>
      <c r="P35" s="18"/>
      <c r="Q35" s="18"/>
      <c r="R35" s="18"/>
    </row>
    <row r="36" spans="1:18" x14ac:dyDescent="0.2">
      <c r="A36" s="38">
        <v>31.1</v>
      </c>
      <c r="B36" s="26" t="s">
        <v>170</v>
      </c>
      <c r="C36" s="26" t="s">
        <v>171</v>
      </c>
      <c r="D36" s="27">
        <v>1018217.7</v>
      </c>
      <c r="E36" s="27"/>
      <c r="F36" s="28"/>
      <c r="G36" s="26"/>
      <c r="H36" s="26"/>
      <c r="I36" s="57">
        <v>38300196</v>
      </c>
      <c r="J36" s="57" t="s">
        <v>172</v>
      </c>
      <c r="K36" s="57">
        <v>36901023</v>
      </c>
      <c r="L36" s="57" t="s">
        <v>68</v>
      </c>
      <c r="M36" s="68">
        <v>4502022997</v>
      </c>
      <c r="N36" s="80">
        <v>1018217.7</v>
      </c>
      <c r="O36" s="43">
        <f t="shared" si="1"/>
        <v>0</v>
      </c>
    </row>
    <row r="37" spans="1:18" s="55" customFormat="1" hidden="1" x14ac:dyDescent="0.2">
      <c r="A37" s="51">
        <v>31.1</v>
      </c>
      <c r="B37" s="52" t="s">
        <v>70</v>
      </c>
      <c r="C37" s="52" t="s">
        <v>173</v>
      </c>
      <c r="D37" s="37">
        <v>3363.75</v>
      </c>
      <c r="E37" s="101"/>
      <c r="F37" s="92"/>
      <c r="G37" s="52"/>
      <c r="H37" s="52"/>
      <c r="I37" s="95">
        <v>38300191</v>
      </c>
      <c r="J37" s="96" t="s">
        <v>12</v>
      </c>
      <c r="K37" s="95">
        <v>36901024</v>
      </c>
      <c r="L37" s="96" t="s">
        <v>13</v>
      </c>
      <c r="M37" s="94">
        <v>4502087747</v>
      </c>
      <c r="N37" s="88">
        <v>3363.75</v>
      </c>
      <c r="O37" s="54">
        <f t="shared" si="1"/>
        <v>0</v>
      </c>
      <c r="P37" s="18"/>
      <c r="Q37" s="18"/>
      <c r="R37" s="18"/>
    </row>
    <row r="38" spans="1:18" x14ac:dyDescent="0.2">
      <c r="A38" s="38"/>
      <c r="B38" s="26"/>
      <c r="C38" s="26"/>
      <c r="D38" s="27"/>
      <c r="E38" s="27"/>
      <c r="F38" s="28"/>
      <c r="G38" s="26"/>
      <c r="H38" s="26"/>
      <c r="I38" s="57"/>
      <c r="J38" s="57"/>
      <c r="K38" s="57"/>
      <c r="L38" s="57"/>
      <c r="M38" s="68"/>
      <c r="N38" s="80">
        <f>SUBTOTAL(109,Table1[שווי שורה/ הגדלה ])</f>
        <v>1018217.7</v>
      </c>
      <c r="O38" s="83"/>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7ECF-77A5-439A-B133-25A34DEE98FC}">
  <dimension ref="A1:F18"/>
  <sheetViews>
    <sheetView rightToLeft="1" workbookViewId="0">
      <pane xSplit="4" ySplit="7" topLeftCell="E8" activePane="bottomRight" state="frozen"/>
      <selection pane="topRight" activeCell="E1" sqref="E1"/>
      <selection pane="bottomLeft" activeCell="A8" sqref="A8"/>
      <selection pane="bottomRight" activeCell="C25" sqref="C25"/>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31.5" x14ac:dyDescent="0.25">
      <c r="C2" s="4" t="s">
        <v>0</v>
      </c>
      <c r="D2" s="16" t="s">
        <v>71</v>
      </c>
      <c r="F2"/>
    </row>
    <row r="3" spans="1:6" s="3" customFormat="1" ht="15.75" x14ac:dyDescent="0.25">
      <c r="C3" s="17" t="s">
        <v>1</v>
      </c>
      <c r="D3" s="5"/>
      <c r="F3"/>
    </row>
    <row r="4" spans="1:6" s="3" customFormat="1" ht="15.75" x14ac:dyDescent="0.25">
      <c r="C4" s="6" t="s">
        <v>24</v>
      </c>
      <c r="D4" s="7"/>
      <c r="F4"/>
    </row>
    <row r="5" spans="1:6" s="3" customFormat="1" ht="15" x14ac:dyDescent="0.25">
      <c r="C5" s="8"/>
      <c r="D5" s="9"/>
      <c r="F5"/>
    </row>
    <row r="6" spans="1:6" s="3" customFormat="1" ht="15.75" thickBot="1" x14ac:dyDescent="0.3">
      <c r="C6" s="10" t="s">
        <v>72</v>
      </c>
      <c r="D6" s="11"/>
      <c r="F6"/>
    </row>
    <row r="7" spans="1:6" ht="28.5" x14ac:dyDescent="0.2">
      <c r="A7" s="12" t="s">
        <v>2</v>
      </c>
      <c r="B7" s="12" t="s">
        <v>3</v>
      </c>
      <c r="C7" s="12" t="s">
        <v>4</v>
      </c>
      <c r="D7" s="13" t="s">
        <v>5</v>
      </c>
    </row>
    <row r="8" spans="1:6" s="15" customFormat="1" ht="15" x14ac:dyDescent="0.25">
      <c r="A8" s="56">
        <v>1</v>
      </c>
      <c r="B8" s="22"/>
      <c r="C8" s="22" t="s">
        <v>85</v>
      </c>
      <c r="D8" s="23">
        <v>4717.4399999999996</v>
      </c>
    </row>
    <row r="9" spans="1:6" s="15" customFormat="1" ht="15" x14ac:dyDescent="0.25">
      <c r="A9" s="56">
        <v>2</v>
      </c>
      <c r="B9" s="14"/>
      <c r="C9" s="14" t="s">
        <v>81</v>
      </c>
      <c r="D9" s="23">
        <v>8739.9</v>
      </c>
    </row>
    <row r="10" spans="1:6" s="15" customFormat="1" ht="15" x14ac:dyDescent="0.25">
      <c r="A10" s="56">
        <v>3</v>
      </c>
      <c r="B10" s="22"/>
      <c r="C10" s="22" t="s">
        <v>84</v>
      </c>
      <c r="D10" s="23">
        <f>8777+8658</f>
        <v>17435</v>
      </c>
    </row>
    <row r="11" spans="1:6" s="15" customFormat="1" ht="30" x14ac:dyDescent="0.25">
      <c r="A11" s="56">
        <v>4</v>
      </c>
      <c r="B11" s="14"/>
      <c r="C11" s="14" t="s">
        <v>82</v>
      </c>
      <c r="D11" s="23">
        <v>32760</v>
      </c>
    </row>
    <row r="12" spans="1:6" s="15" customFormat="1" ht="15" x14ac:dyDescent="0.25">
      <c r="A12" s="56">
        <v>5</v>
      </c>
      <c r="B12" s="22"/>
      <c r="C12" s="22" t="s">
        <v>80</v>
      </c>
      <c r="D12" s="23">
        <v>33292.35</v>
      </c>
    </row>
    <row r="13" spans="1:6" s="15" customFormat="1" ht="15" x14ac:dyDescent="0.25">
      <c r="A13" s="56">
        <v>6</v>
      </c>
      <c r="B13" s="22"/>
      <c r="C13" s="22" t="s">
        <v>69</v>
      </c>
      <c r="D13" s="23">
        <v>44612</v>
      </c>
    </row>
    <row r="14" spans="1:6" s="15" customFormat="1" ht="15" x14ac:dyDescent="0.25">
      <c r="A14" s="56">
        <v>7</v>
      </c>
      <c r="B14" s="14"/>
      <c r="C14" s="14" t="s">
        <v>78</v>
      </c>
      <c r="D14" s="23">
        <v>48180.6</v>
      </c>
    </row>
    <row r="15" spans="1:6" ht="15" x14ac:dyDescent="0.25">
      <c r="A15" s="56">
        <v>8</v>
      </c>
      <c r="B15" s="14"/>
      <c r="C15" s="14" t="s">
        <v>86</v>
      </c>
      <c r="D15" s="23">
        <v>50000</v>
      </c>
    </row>
    <row r="16" spans="1:6" ht="30" x14ac:dyDescent="0.25">
      <c r="A16" s="56">
        <v>9</v>
      </c>
      <c r="B16" s="14"/>
      <c r="C16" s="14" t="s">
        <v>83</v>
      </c>
      <c r="D16" s="23">
        <v>204750</v>
      </c>
    </row>
    <row r="17" spans="1:4" ht="15" x14ac:dyDescent="0.25">
      <c r="A17" s="56">
        <v>10</v>
      </c>
      <c r="B17" s="14"/>
      <c r="C17" s="14" t="s">
        <v>79</v>
      </c>
      <c r="D17" s="23">
        <v>285895</v>
      </c>
    </row>
    <row r="18" spans="1:4" ht="15" x14ac:dyDescent="0.25">
      <c r="A18" s="40"/>
      <c r="B18" s="22"/>
      <c r="C18" s="22"/>
      <c r="D18" s="41">
        <f>SUBTOTAL(109,Table133232323524242424[סכום ההתקשרות (סכום ההתקשרות ולא סכום המזומן)])</f>
        <v>730382.29</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EA8D-F475-4EB0-9CDE-2241EEFCF978}">
  <dimension ref="A1:F19"/>
  <sheetViews>
    <sheetView rightToLeft="1" tabSelected="1" workbookViewId="0">
      <pane xSplit="4" ySplit="7" topLeftCell="E8" activePane="bottomRight" state="frozen"/>
      <selection pane="topRight" activeCell="E1" sqref="E1"/>
      <selection pane="bottomLeft" activeCell="A8" sqref="A8"/>
      <selection pane="bottomRight" activeCell="C18" sqref="C18"/>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31.5" x14ac:dyDescent="0.25">
      <c r="C2" s="4" t="s">
        <v>0</v>
      </c>
      <c r="D2" s="16" t="s">
        <v>87</v>
      </c>
      <c r="F2"/>
    </row>
    <row r="3" spans="1:6" s="3" customFormat="1" ht="15.75" x14ac:dyDescent="0.25">
      <c r="C3" s="17" t="s">
        <v>1</v>
      </c>
      <c r="D3" s="5"/>
      <c r="F3"/>
    </row>
    <row r="4" spans="1:6" s="3" customFormat="1" ht="15.75" x14ac:dyDescent="0.25">
      <c r="C4" s="6" t="s">
        <v>24</v>
      </c>
      <c r="D4" s="7"/>
      <c r="F4"/>
    </row>
    <row r="5" spans="1:6" s="3" customFormat="1" ht="15" x14ac:dyDescent="0.25">
      <c r="C5" s="8"/>
      <c r="D5" s="9"/>
      <c r="F5"/>
    </row>
    <row r="6" spans="1:6" s="3" customFormat="1" ht="15.75" thickBot="1" x14ac:dyDescent="0.3">
      <c r="C6" s="10" t="s">
        <v>88</v>
      </c>
      <c r="D6" s="11"/>
      <c r="F6"/>
    </row>
    <row r="7" spans="1:6" ht="28.5" x14ac:dyDescent="0.2">
      <c r="A7" s="12" t="s">
        <v>2</v>
      </c>
      <c r="B7" s="12" t="s">
        <v>3</v>
      </c>
      <c r="C7" s="12" t="s">
        <v>4</v>
      </c>
      <c r="D7" s="13" t="s">
        <v>5</v>
      </c>
    </row>
    <row r="8" spans="1:6" s="15" customFormat="1" ht="15" x14ac:dyDescent="0.25">
      <c r="A8" s="56">
        <v>1</v>
      </c>
      <c r="B8" s="14"/>
      <c r="C8" s="14" t="s">
        <v>180</v>
      </c>
      <c r="D8" s="23">
        <v>7514.9400000000005</v>
      </c>
    </row>
    <row r="9" spans="1:6" s="15" customFormat="1" ht="15" x14ac:dyDescent="0.25">
      <c r="A9" s="56">
        <v>2</v>
      </c>
      <c r="B9" s="22"/>
      <c r="C9" s="22" t="s">
        <v>176</v>
      </c>
      <c r="D9" s="23">
        <v>14571.7</v>
      </c>
    </row>
    <row r="10" spans="1:6" s="15" customFormat="1" ht="15" x14ac:dyDescent="0.25">
      <c r="A10" s="56">
        <v>3</v>
      </c>
      <c r="B10" s="14"/>
      <c r="C10" s="14" t="s">
        <v>182</v>
      </c>
      <c r="D10" s="23">
        <v>28641.599999999999</v>
      </c>
    </row>
    <row r="11" spans="1:6" s="15" customFormat="1" ht="15" x14ac:dyDescent="0.25">
      <c r="A11" s="56">
        <v>4</v>
      </c>
      <c r="B11" s="14"/>
      <c r="C11" s="14" t="s">
        <v>181</v>
      </c>
      <c r="D11" s="23">
        <v>66569.38</v>
      </c>
    </row>
    <row r="12" spans="1:6" s="15" customFormat="1" ht="15" x14ac:dyDescent="0.25">
      <c r="A12" s="56">
        <v>5</v>
      </c>
      <c r="B12" s="14"/>
      <c r="C12" s="14" t="s">
        <v>13</v>
      </c>
      <c r="D12" s="23">
        <f>11700+73212.75</f>
        <v>84912.75</v>
      </c>
    </row>
    <row r="13" spans="1:6" s="15" customFormat="1" ht="15" x14ac:dyDescent="0.25">
      <c r="A13" s="56">
        <v>6</v>
      </c>
      <c r="B13" s="22"/>
      <c r="C13" s="22" t="s">
        <v>177</v>
      </c>
      <c r="D13" s="23">
        <v>150000</v>
      </c>
    </row>
    <row r="14" spans="1:6" s="15" customFormat="1" ht="15" x14ac:dyDescent="0.25">
      <c r="A14" s="56">
        <v>7</v>
      </c>
      <c r="B14" s="14"/>
      <c r="C14" s="14" t="s">
        <v>183</v>
      </c>
      <c r="D14" s="23">
        <v>151034.07999999999</v>
      </c>
    </row>
    <row r="15" spans="1:6" ht="15" x14ac:dyDescent="0.25">
      <c r="A15" s="56">
        <v>8</v>
      </c>
      <c r="B15" s="22"/>
      <c r="C15" s="22" t="s">
        <v>174</v>
      </c>
      <c r="D15" s="23">
        <f>269936.8+50000+50000</f>
        <v>369936.8</v>
      </c>
    </row>
    <row r="16" spans="1:6" ht="30" x14ac:dyDescent="0.25">
      <c r="A16" s="56">
        <v>9</v>
      </c>
      <c r="B16" s="14"/>
      <c r="C16" s="14" t="s">
        <v>178</v>
      </c>
      <c r="D16" s="23">
        <v>625000</v>
      </c>
    </row>
    <row r="17" spans="1:4" ht="15" x14ac:dyDescent="0.25">
      <c r="A17" s="56">
        <v>10</v>
      </c>
      <c r="B17" s="22"/>
      <c r="C17" s="22" t="s">
        <v>179</v>
      </c>
      <c r="D17" s="23">
        <v>653044.27</v>
      </c>
    </row>
    <row r="18" spans="1:4" ht="15" x14ac:dyDescent="0.25">
      <c r="A18" s="56">
        <v>11</v>
      </c>
      <c r="B18" s="22"/>
      <c r="C18" s="22" t="s">
        <v>184</v>
      </c>
      <c r="D18" s="23">
        <v>1018217.7</v>
      </c>
    </row>
    <row r="19" spans="1:4" ht="15" x14ac:dyDescent="0.25">
      <c r="A19" s="40"/>
      <c r="B19" s="22"/>
      <c r="C19" s="22"/>
      <c r="D19" s="41">
        <f>SUBTOTAL(109,Table1332323235242424242[סכום ההתקשרות (סכום ההתקשרות ולא סכום המזומן)])</f>
        <v>3169443.2199999997</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דוח פניות לאוצר 2021</vt:lpstr>
      <vt:lpstr>דוח החרגות</vt:lpstr>
      <vt:lpstr>ספטמבר</vt:lpstr>
      <vt:lpstr>אוקטובר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2021-11-14T04:47:49Z</dcterms:modified>
  <cp:category/>
</cp:coreProperties>
</file>